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hartsheets/sheet1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te\Documents\Backup\Blogging\"/>
    </mc:Choice>
  </mc:AlternateContent>
  <xr:revisionPtr revIDLastSave="0" documentId="13_ncr:1_{7187C3B8-FB9D-4537-808C-14AE116923A9}" xr6:coauthVersionLast="47" xr6:coauthVersionMax="47" xr10:uidLastSave="{00000000-0000-0000-0000-000000000000}"/>
  <bookViews>
    <workbookView xWindow="-120" yWindow="-120" windowWidth="29040" windowHeight="15840" activeTab="4" xr2:uid="{F7CB6389-8949-4C00-BBDF-F9D901556D3B}"/>
  </bookViews>
  <sheets>
    <sheet name="Producton" sheetId="1" r:id="rId1"/>
    <sheet name="Prices" sheetId="2" r:id="rId2"/>
    <sheet name="Percent of Revenue" sheetId="3" r:id="rId3"/>
    <sheet name="Calcs for chart" sheetId="8" r:id="rId4"/>
    <sheet name="Chart3" sheetId="11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" i="8" l="1"/>
  <c r="D4" i="8"/>
  <c r="D5" i="8"/>
  <c r="D6" i="8"/>
  <c r="D7" i="8"/>
  <c r="D8" i="8"/>
  <c r="D9" i="8"/>
  <c r="D27" i="8" s="1"/>
  <c r="D10" i="8"/>
  <c r="D11" i="8"/>
  <c r="D12" i="8"/>
  <c r="D13" i="8"/>
  <c r="D14" i="8"/>
  <c r="D15" i="8"/>
  <c r="D16" i="8"/>
  <c r="D34" i="8" s="1"/>
  <c r="D17" i="8"/>
  <c r="D35" i="8" s="1"/>
  <c r="D2" i="8"/>
  <c r="E3" i="8"/>
  <c r="E4" i="8"/>
  <c r="E5" i="8"/>
  <c r="E6" i="8"/>
  <c r="E7" i="8"/>
  <c r="E8" i="8"/>
  <c r="E9" i="8"/>
  <c r="E10" i="8"/>
  <c r="E11" i="8"/>
  <c r="E12" i="8"/>
  <c r="E13" i="8"/>
  <c r="E14" i="8"/>
  <c r="E15" i="8"/>
  <c r="E16" i="8"/>
  <c r="E17" i="8"/>
  <c r="E2" i="8"/>
  <c r="C9" i="8"/>
  <c r="B16" i="8"/>
  <c r="B34" i="8" s="1"/>
  <c r="C16" i="8"/>
  <c r="C34" i="8" s="1"/>
  <c r="B17" i="8"/>
  <c r="B35" i="8" s="1"/>
  <c r="C17" i="8"/>
  <c r="C35" i="8" s="1"/>
  <c r="B9" i="8"/>
  <c r="D11" i="1"/>
  <c r="D18" i="1"/>
  <c r="E18" i="1"/>
  <c r="F18" i="1"/>
  <c r="G18" i="1"/>
  <c r="H18" i="3" s="1"/>
  <c r="C18" i="1"/>
  <c r="I2" i="3"/>
  <c r="I3" i="3"/>
  <c r="I4" i="3"/>
  <c r="I5" i="3"/>
  <c r="I6" i="3"/>
  <c r="I7" i="3"/>
  <c r="I8" i="3"/>
  <c r="I9" i="3"/>
  <c r="I10" i="3"/>
  <c r="I11" i="3"/>
  <c r="I15" i="3"/>
  <c r="I17" i="3"/>
  <c r="H2" i="3"/>
  <c r="H3" i="3"/>
  <c r="H4" i="3"/>
  <c r="H5" i="3"/>
  <c r="H6" i="3"/>
  <c r="H7" i="3"/>
  <c r="H8" i="3"/>
  <c r="H9" i="3"/>
  <c r="H10" i="3"/>
  <c r="H11" i="3"/>
  <c r="H12" i="3"/>
  <c r="I12" i="3" s="1"/>
  <c r="H13" i="3"/>
  <c r="H14" i="3"/>
  <c r="I14" i="3" s="1"/>
  <c r="H15" i="3"/>
  <c r="H17" i="3"/>
  <c r="H16" i="3"/>
  <c r="I16" i="3" s="1"/>
  <c r="D17" i="3"/>
  <c r="J17" i="3" s="1"/>
  <c r="E17" i="3"/>
  <c r="F17" i="3"/>
  <c r="G17" i="3"/>
  <c r="G16" i="3"/>
  <c r="C7" i="2"/>
  <c r="G17" i="1"/>
  <c r="F17" i="1"/>
  <c r="D17" i="1"/>
  <c r="E17" i="1"/>
  <c r="D9" i="1"/>
  <c r="C9" i="1"/>
  <c r="D16" i="1"/>
  <c r="E16" i="3" s="1"/>
  <c r="D16" i="3"/>
  <c r="F16" i="3"/>
  <c r="F16" i="1"/>
  <c r="E16" i="1"/>
  <c r="C16" i="1"/>
  <c r="B27" i="8" l="1"/>
  <c r="K17" i="3"/>
  <c r="J16" i="3"/>
  <c r="K16" i="3" s="1"/>
  <c r="C27" i="8" l="1"/>
  <c r="B15" i="8" l="1"/>
  <c r="C15" i="8"/>
  <c r="B13" i="8"/>
  <c r="C13" i="8"/>
  <c r="B12" i="8"/>
  <c r="C12" i="8"/>
  <c r="B11" i="8"/>
  <c r="C11" i="8"/>
  <c r="B10" i="8"/>
  <c r="C10" i="8"/>
  <c r="B8" i="8"/>
  <c r="C8" i="8"/>
  <c r="B7" i="8"/>
  <c r="C7" i="8"/>
  <c r="B6" i="8"/>
  <c r="C6" i="8"/>
  <c r="B5" i="8"/>
  <c r="C5" i="8"/>
  <c r="B4" i="8"/>
  <c r="C4" i="8"/>
  <c r="B3" i="8"/>
  <c r="C3" i="8"/>
  <c r="F18" i="3"/>
  <c r="G18" i="3"/>
  <c r="G15" i="3"/>
  <c r="F15" i="3"/>
  <c r="E15" i="3"/>
  <c r="D15" i="3"/>
  <c r="D2" i="1"/>
  <c r="E2" i="3" s="1"/>
  <c r="C2" i="1"/>
  <c r="D2" i="3" s="1"/>
  <c r="B14" i="8"/>
  <c r="D14" i="3"/>
  <c r="G3" i="3"/>
  <c r="G4" i="3"/>
  <c r="G5" i="3"/>
  <c r="G6" i="3"/>
  <c r="G7" i="3"/>
  <c r="G8" i="3"/>
  <c r="G9" i="3"/>
  <c r="G10" i="3"/>
  <c r="G11" i="3"/>
  <c r="G12" i="3"/>
  <c r="G13" i="3"/>
  <c r="G14" i="3"/>
  <c r="G2" i="3"/>
  <c r="F3" i="3"/>
  <c r="F4" i="3"/>
  <c r="F5" i="3"/>
  <c r="F6" i="3"/>
  <c r="F7" i="3"/>
  <c r="F8" i="3"/>
  <c r="F9" i="3"/>
  <c r="F10" i="3"/>
  <c r="F11" i="3"/>
  <c r="F12" i="3"/>
  <c r="F13" i="3"/>
  <c r="I13" i="3" s="1"/>
  <c r="F14" i="3"/>
  <c r="F2" i="3"/>
  <c r="E3" i="3"/>
  <c r="E4" i="3"/>
  <c r="E5" i="3"/>
  <c r="E6" i="3"/>
  <c r="E7" i="3"/>
  <c r="E8" i="3"/>
  <c r="E9" i="3"/>
  <c r="E10" i="3"/>
  <c r="E11" i="3"/>
  <c r="E12" i="3"/>
  <c r="E13" i="3"/>
  <c r="D3" i="3"/>
  <c r="D4" i="3"/>
  <c r="D5" i="3"/>
  <c r="D6" i="3"/>
  <c r="D7" i="3"/>
  <c r="D8" i="3"/>
  <c r="D9" i="3"/>
  <c r="D10" i="3"/>
  <c r="D11" i="3"/>
  <c r="D12" i="3"/>
  <c r="D13" i="3"/>
  <c r="B12" i="2"/>
  <c r="B11" i="2"/>
  <c r="I18" i="3" l="1"/>
  <c r="E14" i="3"/>
  <c r="C2" i="8"/>
  <c r="B2" i="8"/>
  <c r="C14" i="8"/>
  <c r="C24" i="8"/>
  <c r="C31" i="8"/>
  <c r="D30" i="8"/>
  <c r="C22" i="8"/>
  <c r="C29" i="8"/>
  <c r="B28" i="8"/>
  <c r="C23" i="8"/>
  <c r="C26" i="8"/>
  <c r="C33" i="8"/>
  <c r="B25" i="8"/>
  <c r="J3" i="3"/>
  <c r="K3" i="3" s="1"/>
  <c r="J4" i="3"/>
  <c r="K4" i="3" s="1"/>
  <c r="J9" i="3"/>
  <c r="K9" i="3" s="1"/>
  <c r="J15" i="3"/>
  <c r="K15" i="3" s="1"/>
  <c r="J11" i="3"/>
  <c r="K11" i="3" s="1"/>
  <c r="J2" i="3"/>
  <c r="K2" i="3" s="1"/>
  <c r="J14" i="3"/>
  <c r="K14" i="3" s="1"/>
  <c r="J13" i="3"/>
  <c r="K13" i="3" s="1"/>
  <c r="J12" i="3"/>
  <c r="K12" i="3" s="1"/>
  <c r="J10" i="3"/>
  <c r="K10" i="3" s="1"/>
  <c r="J8" i="3"/>
  <c r="K8" i="3" s="1"/>
  <c r="J7" i="3"/>
  <c r="K7" i="3" s="1"/>
  <c r="J6" i="3"/>
  <c r="K6" i="3" s="1"/>
  <c r="J5" i="3"/>
  <c r="K5" i="3" s="1"/>
  <c r="B26" i="8" l="1"/>
  <c r="B23" i="8"/>
  <c r="D29" i="8"/>
  <c r="D28" i="8"/>
  <c r="B21" i="8"/>
  <c r="C21" i="8"/>
  <c r="D26" i="8"/>
  <c r="B29" i="8"/>
  <c r="D18" i="3"/>
  <c r="D25" i="8"/>
  <c r="D23" i="8"/>
  <c r="D24" i="8"/>
  <c r="B24" i="8"/>
  <c r="D21" i="8"/>
  <c r="D22" i="8"/>
  <c r="B22" i="8"/>
  <c r="E18" i="3"/>
  <c r="C30" i="8"/>
  <c r="D33" i="8"/>
  <c r="B30" i="8"/>
  <c r="C28" i="8"/>
  <c r="C25" i="8"/>
  <c r="B33" i="8"/>
  <c r="C32" i="8"/>
  <c r="D31" i="8"/>
  <c r="B31" i="8"/>
  <c r="D20" i="8" l="1"/>
  <c r="C20" i="8"/>
  <c r="B20" i="8"/>
  <c r="D32" i="8"/>
  <c r="B32" i="8"/>
  <c r="J18" i="3"/>
  <c r="K18" i="3" s="1"/>
</calcChain>
</file>

<file path=xl/sharedStrings.xml><?xml version="1.0" encoding="utf-8"?>
<sst xmlns="http://schemas.openxmlformats.org/spreadsheetml/2006/main" count="188" uniqueCount="108">
  <si>
    <t>AG</t>
  </si>
  <si>
    <t>HL</t>
  </si>
  <si>
    <t>EXK</t>
  </si>
  <si>
    <t>AYA CN</t>
  </si>
  <si>
    <t>SVM CN</t>
  </si>
  <si>
    <t>CDE</t>
  </si>
  <si>
    <t>FIRST MAJESTIC SILVER CORP</t>
  </si>
  <si>
    <t>PAN AMERICAN SILVER CORP</t>
  </si>
  <si>
    <t>HECLA MNG CO</t>
  </si>
  <si>
    <t>ENDEAVOUR SILVER CORP</t>
  </si>
  <si>
    <t>AYA GOLD &amp; SILVER COM NPV</t>
  </si>
  <si>
    <t>HOCHSCHILD MINING</t>
  </si>
  <si>
    <t>ANDEAN PRECIOUS METALS CORP</t>
  </si>
  <si>
    <t>PAAS</t>
  </si>
  <si>
    <t>SSRM</t>
  </si>
  <si>
    <t>SSR MINING INC</t>
  </si>
  <si>
    <t>FRESNILLO PLC</t>
  </si>
  <si>
    <t>FORTUNA SILVER MINES INC</t>
  </si>
  <si>
    <t>COEUR MINING INC</t>
  </si>
  <si>
    <t>SILVERCORP METALS INC</t>
  </si>
  <si>
    <t>Lead</t>
  </si>
  <si>
    <t>Zinc</t>
  </si>
  <si>
    <t>gold (oz)</t>
  </si>
  <si>
    <t>silver (koz)</t>
  </si>
  <si>
    <t>lead</t>
  </si>
  <si>
    <t>zinc</t>
  </si>
  <si>
    <t>Comments</t>
  </si>
  <si>
    <t>YTD as of 3rd Qtr</t>
  </si>
  <si>
    <t>Metal</t>
  </si>
  <si>
    <t>Gold</t>
  </si>
  <si>
    <t>Units</t>
  </si>
  <si>
    <t>Oz</t>
  </si>
  <si>
    <t>Silver</t>
  </si>
  <si>
    <t>Price</t>
  </si>
  <si>
    <t>Ton</t>
  </si>
  <si>
    <t>Used from Penola site for YTD at Q3 2022</t>
  </si>
  <si>
    <t>Today price</t>
  </si>
  <si>
    <t>Moon</t>
  </si>
  <si>
    <t>Impact Silver</t>
  </si>
  <si>
    <t>ISVLF</t>
  </si>
  <si>
    <t>GSR on chart</t>
  </si>
  <si>
    <t>Mean of 50</t>
  </si>
  <si>
    <t>Used in "moon" scenario</t>
  </si>
  <si>
    <t>GLGDF</t>
  </si>
  <si>
    <t>GoGold</t>
  </si>
  <si>
    <t>ANPMF</t>
  </si>
  <si>
    <t>lead (tons)</t>
  </si>
  <si>
    <t>zinc (tons)</t>
  </si>
  <si>
    <t>P/E ratio</t>
  </si>
  <si>
    <t>N/A</t>
  </si>
  <si>
    <t>Tot Rev</t>
  </si>
  <si>
    <t>% Silver</t>
  </si>
  <si>
    <t>70/30 gold to silver on corp presentation</t>
  </si>
  <si>
    <t>used low end of 2022 guidance</t>
  </si>
  <si>
    <t>used low end of 2023 guidance</t>
  </si>
  <si>
    <t>JC took it from 42% to 30%</t>
  </si>
  <si>
    <t>FSM</t>
  </si>
  <si>
    <t>used 2022 outlook from inv presentation</t>
  </si>
  <si>
    <t>FNLPF</t>
  </si>
  <si>
    <t>used FY 2022 numbers</t>
  </si>
  <si>
    <t>tiny producer - 2.2m AgEq oz.  Can't get breakdown.  No 2023 guidance</t>
  </si>
  <si>
    <t>2021 numbers from their DL</t>
  </si>
  <si>
    <t>HCHDF</t>
  </si>
  <si>
    <t>Prelim 2022 results on DL - used lower end of FY 2022 guidance in p22</t>
  </si>
  <si>
    <t xml:space="preserve">didn't add 5500 tons of copper </t>
  </si>
  <si>
    <t>Used low end of 2023 prod guidance on p 24 of presentation</t>
  </si>
  <si>
    <t>Mkt cap ($m)</t>
  </si>
  <si>
    <t>Corp presentation would not load</t>
  </si>
  <si>
    <t>micro producer, used 2021 numbers from hard to see corp presentation</t>
  </si>
  <si>
    <t>Company</t>
  </si>
  <si>
    <t>Symbol</t>
  </si>
  <si>
    <t>Tot prod</t>
  </si>
  <si>
    <t>doubled the six months to 6/30 on their interim 2022 results to get full yr</t>
  </si>
  <si>
    <t>This is at 84 GSR</t>
  </si>
  <si>
    <t>silver</t>
  </si>
  <si>
    <t>gold</t>
  </si>
  <si>
    <t>Guanajuato silver</t>
  </si>
  <si>
    <t>Took 3Q 2022 and times by 4, since new mine with lead and zinc started</t>
  </si>
  <si>
    <t>Guanajuato Silver</t>
  </si>
  <si>
    <t>Got Q3 SOLD from MD&amp;A and multiplied by 4</t>
  </si>
  <si>
    <t>SantaCruz silver</t>
  </si>
  <si>
    <t>Took 3Q 2022 on MD&amp;A and combined from 2 mines and times by 4</t>
  </si>
  <si>
    <t>Copper</t>
  </si>
  <si>
    <t>Copper (tons)</t>
  </si>
  <si>
    <t>Total Base Metal Rev</t>
  </si>
  <si>
    <t>Massively Zinc</t>
  </si>
  <si>
    <t>SZSMF</t>
  </si>
  <si>
    <t>GSVRF</t>
  </si>
  <si>
    <t>Got from 2022 guidance table in page 27 of 3Q financial results</t>
  </si>
  <si>
    <t>Adjusted zinc down 50% - listed as Klbs rather than tons</t>
  </si>
  <si>
    <t>Adjusted silver up to account for double 22 H1 results</t>
  </si>
  <si>
    <t xml:space="preserve">Base metals </t>
  </si>
  <si>
    <t>Primary silver, by a nose</t>
  </si>
  <si>
    <t>Denotes primary metals</t>
  </si>
  <si>
    <t>Sub $100m mkt cap AND silver as primary metal by revenue</t>
  </si>
  <si>
    <t>Denotes $100m mkt cap AND silver as primary metal by revenue</t>
  </si>
  <si>
    <t>Base</t>
  </si>
  <si>
    <t xml:space="preserve">FIRST MAJESTIC </t>
  </si>
  <si>
    <t>AYA GOLD &amp; SILVER</t>
  </si>
  <si>
    <t>ANDEAN PM</t>
  </si>
  <si>
    <t>ENDEAVOUR SILVER</t>
  </si>
  <si>
    <t>SILVERCORP</t>
  </si>
  <si>
    <t>FRESNILLO</t>
  </si>
  <si>
    <t>HECLA</t>
  </si>
  <si>
    <t>PAN AMERICAN</t>
  </si>
  <si>
    <t>FORTUNA SILVER</t>
  </si>
  <si>
    <t>SSR MINING</t>
  </si>
  <si>
    <t>HOCHSCHILD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</si>
</sst>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_);[Red]\(&quot;$&quot;#,##0\)"/>
    <numFmt numFmtId="44" formatCode="_(&quot;$&quot;* #,##0.00_);_(&quot;$&quot;* \(#,##0.00\);_(&quot;$&quot;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232A3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4">
    <xf numFmtId="0" fontId="0" fillId="0" borderId="0" xfId="0"/>
    <xf numFmtId="44" fontId="0" fillId="0" borderId="0" xfId="1" applyFont="1"/>
    <xf numFmtId="6" fontId="0" fillId="0" borderId="0" xfId="1" applyNumberFormat="1" applyFont="1"/>
    <xf numFmtId="44" fontId="0" fillId="0" borderId="0" xfId="0" applyNumberFormat="1"/>
    <xf numFmtId="9" fontId="0" fillId="0" borderId="0" xfId="2" applyFont="1"/>
    <xf numFmtId="0" fontId="0" fillId="0" borderId="1" xfId="0" applyBorder="1"/>
    <xf numFmtId="3" fontId="0" fillId="0" borderId="1" xfId="0" applyNumberFormat="1" applyBorder="1"/>
    <xf numFmtId="0" fontId="0" fillId="0" borderId="2" xfId="0" applyBorder="1"/>
    <xf numFmtId="0" fontId="3" fillId="0" borderId="2" xfId="0" applyFont="1" applyBorder="1"/>
    <xf numFmtId="0" fontId="0" fillId="0" borderId="3" xfId="0" applyBorder="1"/>
    <xf numFmtId="0" fontId="2" fillId="0" borderId="4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5" fillId="0" borderId="7" xfId="0" applyFont="1" applyBorder="1"/>
    <xf numFmtId="0" fontId="0" fillId="0" borderId="8" xfId="0" applyBorder="1"/>
    <xf numFmtId="3" fontId="0" fillId="0" borderId="8" xfId="0" applyNumberFormat="1" applyBorder="1"/>
    <xf numFmtId="0" fontId="0" fillId="0" borderId="9" xfId="0" applyBorder="1"/>
    <xf numFmtId="0" fontId="0" fillId="0" borderId="6" xfId="0" applyBorder="1"/>
    <xf numFmtId="0" fontId="0" fillId="0" borderId="4" xfId="0" applyBorder="1"/>
    <xf numFmtId="44" fontId="0" fillId="0" borderId="1" xfId="0" applyNumberFormat="1" applyBorder="1"/>
    <xf numFmtId="0" fontId="0" fillId="0" borderId="5" xfId="0" applyBorder="1"/>
    <xf numFmtId="44" fontId="0" fillId="0" borderId="8" xfId="0" applyNumberFormat="1" applyBorder="1"/>
    <xf numFmtId="3" fontId="0" fillId="0" borderId="3" xfId="0" applyNumberFormat="1" applyBorder="1"/>
    <xf numFmtId="0" fontId="4" fillId="0" borderId="7" xfId="0" applyFont="1" applyBorder="1"/>
    <xf numFmtId="3" fontId="6" fillId="0" borderId="8" xfId="0" applyNumberFormat="1" applyFont="1" applyBorder="1"/>
    <xf numFmtId="44" fontId="0" fillId="2" borderId="1" xfId="0" applyNumberFormat="1" applyFill="1" applyBorder="1"/>
    <xf numFmtId="0" fontId="0" fillId="4" borderId="1" xfId="0" applyFill="1" applyBorder="1"/>
    <xf numFmtId="0" fontId="0" fillId="2" borderId="0" xfId="0" applyFill="1"/>
    <xf numFmtId="9" fontId="0" fillId="0" borderId="1" xfId="2" applyFont="1" applyFill="1" applyBorder="1"/>
    <xf numFmtId="9" fontId="0" fillId="0" borderId="8" xfId="2" applyFont="1" applyFill="1" applyBorder="1"/>
    <xf numFmtId="0" fontId="0" fillId="4" borderId="0" xfId="0" applyFill="1"/>
    <xf numFmtId="0" fontId="0" fillId="3" borderId="0" xfId="0" applyFill="1"/>
    <xf numFmtId="0" fontId="0" fillId="5" borderId="1" xfId="0" applyFill="1" applyBorder="1"/>
    <xf numFmtId="9" fontId="0" fillId="0" borderId="0" xfId="0" applyNumberFormat="1"/>
  </cellXfs>
  <cellStyles count="3">
    <cellStyle name="Currency" xfId="1" builtinId="4"/>
    <cellStyle name="Normal" xfId="0" builtinId="0"/>
    <cellStyle name="Percent" xfId="2" builtinId="5"/>
  </cellStyles>
  <dxfs count="35">
    <dxf>
      <numFmt numFmtId="34" formatCode="_(&quot;$&quot;* #,##0.00_);_(&quot;$&quot;* \(#,##0.00\);_(&quot;$&quot;* &quot;-&quot;??_);_(@_)"/>
    </dxf>
    <dxf>
      <numFmt numFmtId="34" formatCode="_(&quot;$&quot;* #,##0.00_);_(&quot;$&quot;* \(#,##0.00\);_(&quot;$&quot;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34" formatCode="_(&quot;$&quot;* #,##0.00_);_(&quot;$&quot;* \(#,##0.00\);_(&quot;$&quot;* &quot;-&quot;??_);_(@_)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34" formatCode="_(&quot;$&quot;* #,##0.00_);_(&quot;$&quot;* \(#,##0.00\);_(&quot;$&quot;* &quot;-&quot;??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4" formatCode="_(&quot;$&quot;* #,##0.00_);_(&quot;$&quot;* \(#,##0.00\);_(&quot;$&quot;* &quot;-&quot;??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4" formatCode="_(&quot;$&quot;* #,##0.00_);_(&quot;$&quot;* \(#,##0.00\);_(&quot;$&quot;* &quot;-&quot;??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4" formatCode="_(&quot;$&quot;* #,##0.00_);_(&quot;$&quot;* \(#,##0.00\);_(&quot;$&quot;* &quot;-&quot;??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4" formatCode="_(&quot;$&quot;* #,##0.00_);_(&quot;$&quot;* \(#,##0.00\);_(&quot;$&quot;* &quot;-&quot;??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4" formatCode="_(&quot;$&quot;* #,##0.00_);_(&quot;$&quot;* \(#,##0.00\);_(&quot;$&quot;* &quot;-&quot;??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numFmt numFmtId="34" formatCode="_(&quot;$&quot;* #,##0.00_);_(&quot;$&quot;* \(#,##0.00\);_(&quot;$&quot;* &quot;-&quot;??_);_(@_)"/>
    </dxf>
    <dxf>
      <numFmt numFmtId="34" formatCode="_(&quot;$&quot;* #,##0.00_);_(&quot;$&quot;* \(#,##0.00\);_(&quot;$&quot;* &quot;-&quot;??_);_(@_)"/>
    </dxf>
    <dxf>
      <numFmt numFmtId="34" formatCode="_(&quot;$&quot;* #,##0.00_);_(&quot;$&quot;* \(#,##0.00\);_(&quot;$&quot;* &quot;-&quot;??_);_(@_)"/>
    </dxf>
    <dxf>
      <numFmt numFmtId="34" formatCode="_(&quot;$&quot;* #,##0.00_);_(&quot;$&quot;* \(#,##0.00\);_(&quot;$&quot;* &quot;-&quot;??_);_(@_)"/>
    </dxf>
    <dxf>
      <numFmt numFmtId="34" formatCode="_(&quot;$&quot;* #,##0.00_);_(&quot;$&quot;* \(#,##0.00\);_(&quot;$&quot;* &quot;-&quot;??_);_(@_)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chartsheet" Target="chartsheets/sheet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000" b="1">
                <a:latin typeface="+mn-lt"/>
              </a:rPr>
              <a:t>Metals as a percent of mining revenues - 2022/23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1239613346289639E-2"/>
          <c:y val="9.5157060711090383E-2"/>
          <c:w val="0.93264000699742178"/>
          <c:h val="0.74514618526384058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'Calcs for chart'!$B$38</c:f>
              <c:strCache>
                <c:ptCount val="1"/>
                <c:pt idx="0">
                  <c:v>Silver</c:v>
                </c:pt>
              </c:strCache>
            </c:strRef>
          </c:tx>
          <c:spPr>
            <a:solidFill>
              <a:schemeClr val="bg1">
                <a:lumMod val="65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'Calcs for chart'!$A$39:$A$54</c:f>
              <c:strCache>
                <c:ptCount val="16"/>
                <c:pt idx="0">
                  <c:v>AYA GOLD &amp; SILVER</c:v>
                </c:pt>
                <c:pt idx="1">
                  <c:v>ANDEAN PM</c:v>
                </c:pt>
                <c:pt idx="2">
                  <c:v>Impact Silver</c:v>
                </c:pt>
                <c:pt idx="3">
                  <c:v>ENDEAVOUR SILVER</c:v>
                </c:pt>
                <c:pt idx="4">
                  <c:v>GoGold</c:v>
                </c:pt>
                <c:pt idx="5">
                  <c:v>Guanajuato silver</c:v>
                </c:pt>
                <c:pt idx="6">
                  <c:v>SILVERCORP</c:v>
                </c:pt>
                <c:pt idx="7">
                  <c:v>FRESNILLO</c:v>
                </c:pt>
                <c:pt idx="8">
                  <c:v>HOCHSCHILD</c:v>
                </c:pt>
                <c:pt idx="9">
                  <c:v>FIRST MAJESTIC </c:v>
                </c:pt>
                <c:pt idx="10">
                  <c:v>SantaCruz silver</c:v>
                </c:pt>
                <c:pt idx="11">
                  <c:v>HECLA</c:v>
                </c:pt>
                <c:pt idx="12">
                  <c:v>COEUR MINING INC</c:v>
                </c:pt>
                <c:pt idx="13">
                  <c:v>PAN AMERICAN</c:v>
                </c:pt>
                <c:pt idx="14">
                  <c:v>FORTUNA SILVER</c:v>
                </c:pt>
                <c:pt idx="15">
                  <c:v>SSR MINING</c:v>
                </c:pt>
              </c:strCache>
            </c:strRef>
          </c:cat>
          <c:val>
            <c:numRef>
              <c:f>'Calcs for chart'!$B$39:$B$54</c:f>
              <c:numCache>
                <c:formatCode>0%</c:formatCode>
                <c:ptCount val="16"/>
                <c:pt idx="0">
                  <c:v>1</c:v>
                </c:pt>
                <c:pt idx="1">
                  <c:v>0.94752693648325725</c:v>
                </c:pt>
                <c:pt idx="2">
                  <c:v>0.9258869472809772</c:v>
                </c:pt>
                <c:pt idx="3">
                  <c:v>0.65560538116591927</c:v>
                </c:pt>
                <c:pt idx="4">
                  <c:v>0.54208130893540296</c:v>
                </c:pt>
                <c:pt idx="5">
                  <c:v>0.53148191700927017</c:v>
                </c:pt>
                <c:pt idx="6">
                  <c:v>0.42401743468209052</c:v>
                </c:pt>
                <c:pt idx="7">
                  <c:v>0.41400568097726326</c:v>
                </c:pt>
                <c:pt idx="8">
                  <c:v>0.39167742895245766</c:v>
                </c:pt>
                <c:pt idx="9">
                  <c:v>0.30267145861971878</c:v>
                </c:pt>
                <c:pt idx="10">
                  <c:v>0.29569352795598763</c:v>
                </c:pt>
                <c:pt idx="11">
                  <c:v>0.28443777581488872</c:v>
                </c:pt>
                <c:pt idx="12">
                  <c:v>0.25568380552640785</c:v>
                </c:pt>
                <c:pt idx="13">
                  <c:v>0.25154290994248935</c:v>
                </c:pt>
                <c:pt idx="14">
                  <c:v>0.19538312353204737</c:v>
                </c:pt>
                <c:pt idx="15">
                  <c:v>0.15890990296634455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304-491F-81D1-347BB50C4F0E}"/>
            </c:ext>
          </c:extLst>
        </c:ser>
        <c:ser>
          <c:idx val="1"/>
          <c:order val="1"/>
          <c:tx>
            <c:strRef>
              <c:f>'Calcs for chart'!$C$38</c:f>
              <c:strCache>
                <c:ptCount val="1"/>
                <c:pt idx="0">
                  <c:v>Gold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C304-491F-81D1-347BB50C4F0E}"/>
                </c:ext>
              </c:extLst>
            </c:dLbl>
            <c:dLbl>
              <c:idx val="1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C304-491F-81D1-347BB50C4F0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'Calcs for chart'!$A$39:$A$54</c:f>
              <c:strCache>
                <c:ptCount val="16"/>
                <c:pt idx="0">
                  <c:v>AYA GOLD &amp; SILVER</c:v>
                </c:pt>
                <c:pt idx="1">
                  <c:v>ANDEAN PM</c:v>
                </c:pt>
                <c:pt idx="2">
                  <c:v>Impact Silver</c:v>
                </c:pt>
                <c:pt idx="3">
                  <c:v>ENDEAVOUR SILVER</c:v>
                </c:pt>
                <c:pt idx="4">
                  <c:v>GoGold</c:v>
                </c:pt>
                <c:pt idx="5">
                  <c:v>Guanajuato silver</c:v>
                </c:pt>
                <c:pt idx="6">
                  <c:v>SILVERCORP</c:v>
                </c:pt>
                <c:pt idx="7">
                  <c:v>FRESNILLO</c:v>
                </c:pt>
                <c:pt idx="8">
                  <c:v>HOCHSCHILD</c:v>
                </c:pt>
                <c:pt idx="9">
                  <c:v>FIRST MAJESTIC </c:v>
                </c:pt>
                <c:pt idx="10">
                  <c:v>SantaCruz silver</c:v>
                </c:pt>
                <c:pt idx="11">
                  <c:v>HECLA</c:v>
                </c:pt>
                <c:pt idx="12">
                  <c:v>COEUR MINING INC</c:v>
                </c:pt>
                <c:pt idx="13">
                  <c:v>PAN AMERICAN</c:v>
                </c:pt>
                <c:pt idx="14">
                  <c:v>FORTUNA SILVER</c:v>
                </c:pt>
                <c:pt idx="15">
                  <c:v>SSR MINING</c:v>
                </c:pt>
              </c:strCache>
            </c:strRef>
          </c:cat>
          <c:val>
            <c:numRef>
              <c:f>'Calcs for chart'!$C$39:$C$54</c:f>
              <c:numCache>
                <c:formatCode>0%</c:formatCode>
                <c:ptCount val="16"/>
                <c:pt idx="0">
                  <c:v>0</c:v>
                </c:pt>
                <c:pt idx="1">
                  <c:v>5.2473063516742725E-2</c:v>
                </c:pt>
                <c:pt idx="2">
                  <c:v>3.6819765305473082E-2</c:v>
                </c:pt>
                <c:pt idx="3">
                  <c:v>0.34439461883408073</c:v>
                </c:pt>
                <c:pt idx="4">
                  <c:v>0.45791869106459698</c:v>
                </c:pt>
                <c:pt idx="5">
                  <c:v>0.43306188820796931</c:v>
                </c:pt>
                <c:pt idx="6">
                  <c:v>0</c:v>
                </c:pt>
                <c:pt idx="7">
                  <c:v>0.4074754258919483</c:v>
                </c:pt>
                <c:pt idx="8">
                  <c:v>0.60832257104754228</c:v>
                </c:pt>
                <c:pt idx="9">
                  <c:v>0.69732854138028122</c:v>
                </c:pt>
                <c:pt idx="10">
                  <c:v>0</c:v>
                </c:pt>
                <c:pt idx="11">
                  <c:v>0.36959294271379783</c:v>
                </c:pt>
                <c:pt idx="12">
                  <c:v>0.74431619447359221</c:v>
                </c:pt>
                <c:pt idx="13">
                  <c:v>0.63927609883544945</c:v>
                </c:pt>
                <c:pt idx="14">
                  <c:v>0.65945048375454995</c:v>
                </c:pt>
                <c:pt idx="15">
                  <c:v>0.84109009703365545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304-491F-81D1-347BB50C4F0E}"/>
            </c:ext>
          </c:extLst>
        </c:ser>
        <c:ser>
          <c:idx val="2"/>
          <c:order val="2"/>
          <c:tx>
            <c:strRef>
              <c:f>'Calcs for chart'!$D$38</c:f>
              <c:strCache>
                <c:ptCount val="1"/>
                <c:pt idx="0">
                  <c:v>Base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C304-491F-81D1-347BB50C4F0E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C304-491F-81D1-347BB50C4F0E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C304-491F-81D1-347BB50C4F0E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C304-491F-81D1-347BB50C4F0E}"/>
                </c:ext>
              </c:extLst>
            </c:dLbl>
            <c:dLbl>
              <c:idx val="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C304-491F-81D1-347BB50C4F0E}"/>
                </c:ext>
              </c:extLst>
            </c:dLbl>
            <c:dLbl>
              <c:idx val="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C304-491F-81D1-347BB50C4F0E}"/>
                </c:ext>
              </c:extLst>
            </c:dLbl>
            <c:dLbl>
              <c:idx val="1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C304-491F-81D1-347BB50C4F0E}"/>
                </c:ext>
              </c:extLst>
            </c:dLbl>
            <c:dLbl>
              <c:idx val="1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C304-491F-81D1-347BB50C4F0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'Calcs for chart'!$A$39:$A$54</c:f>
              <c:strCache>
                <c:ptCount val="16"/>
                <c:pt idx="0">
                  <c:v>AYA GOLD &amp; SILVER</c:v>
                </c:pt>
                <c:pt idx="1">
                  <c:v>ANDEAN PM</c:v>
                </c:pt>
                <c:pt idx="2">
                  <c:v>Impact Silver</c:v>
                </c:pt>
                <c:pt idx="3">
                  <c:v>ENDEAVOUR SILVER</c:v>
                </c:pt>
                <c:pt idx="4">
                  <c:v>GoGold</c:v>
                </c:pt>
                <c:pt idx="5">
                  <c:v>Guanajuato silver</c:v>
                </c:pt>
                <c:pt idx="6">
                  <c:v>SILVERCORP</c:v>
                </c:pt>
                <c:pt idx="7">
                  <c:v>FRESNILLO</c:v>
                </c:pt>
                <c:pt idx="8">
                  <c:v>HOCHSCHILD</c:v>
                </c:pt>
                <c:pt idx="9">
                  <c:v>FIRST MAJESTIC </c:v>
                </c:pt>
                <c:pt idx="10">
                  <c:v>SantaCruz silver</c:v>
                </c:pt>
                <c:pt idx="11">
                  <c:v>HECLA</c:v>
                </c:pt>
                <c:pt idx="12">
                  <c:v>COEUR MINING INC</c:v>
                </c:pt>
                <c:pt idx="13">
                  <c:v>PAN AMERICAN</c:v>
                </c:pt>
                <c:pt idx="14">
                  <c:v>FORTUNA SILVER</c:v>
                </c:pt>
                <c:pt idx="15">
                  <c:v>SSR MINING</c:v>
                </c:pt>
              </c:strCache>
            </c:strRef>
          </c:cat>
          <c:val>
            <c:numRef>
              <c:f>'Calcs for chart'!$D$39:$D$54</c:f>
              <c:numCache>
                <c:formatCode>0%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3.729328741354971E-2</c:v>
                </c:pt>
                <c:pt idx="3">
                  <c:v>0</c:v>
                </c:pt>
                <c:pt idx="4">
                  <c:v>0</c:v>
                </c:pt>
                <c:pt idx="5">
                  <c:v>3.5456194782760457E-2</c:v>
                </c:pt>
                <c:pt idx="6">
                  <c:v>0.57598256531790948</c:v>
                </c:pt>
                <c:pt idx="7">
                  <c:v>0.17851889313078848</c:v>
                </c:pt>
                <c:pt idx="8">
                  <c:v>0</c:v>
                </c:pt>
                <c:pt idx="9">
                  <c:v>0</c:v>
                </c:pt>
                <c:pt idx="10">
                  <c:v>0.73990085452209509</c:v>
                </c:pt>
                <c:pt idx="11">
                  <c:v>0.34596928147131345</c:v>
                </c:pt>
                <c:pt idx="12">
                  <c:v>0</c:v>
                </c:pt>
                <c:pt idx="13">
                  <c:v>0.10921022128052764</c:v>
                </c:pt>
                <c:pt idx="14">
                  <c:v>0.1451663927134027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304-491F-81D1-347BB50C4F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047317247"/>
        <c:axId val="1047319743"/>
      </c:barChart>
      <c:catAx>
        <c:axId val="104731724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47319743"/>
        <c:crosses val="autoZero"/>
        <c:auto val="1"/>
        <c:lblAlgn val="ctr"/>
        <c:lblOffset val="100"/>
        <c:noMultiLvlLbl val="0"/>
      </c:catAx>
      <c:valAx>
        <c:axId val="1047319743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4731724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C46FEE28-3747-4610-AAA8-220827C00060}">
  <sheetPr/>
  <sheetViews>
    <sheetView tabSelected="1" zoomScale="11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6049" cy="6284799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9D74598-7D74-C77A-D835-3497146EB8ED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965C922-CEDD-4F2C-B975-2871069025CE}" name="Table1" displayName="Table1" ref="A1:H18" totalsRowShown="0" headerRowDxfId="24" headerRowBorderDxfId="33" tableBorderDxfId="34" totalsRowBorderDxfId="32">
  <autoFilter ref="A1:H18" xr:uid="{9965C922-CEDD-4F2C-B975-2871069025CE}"/>
  <tableColumns count="8">
    <tableColumn id="1" xr3:uid="{3C23CB1D-F68A-480E-90A1-098F55CA15BD}" name="Symbol" dataDxfId="31"/>
    <tableColumn id="2" xr3:uid="{C0EEC1F0-28C4-4A46-ADB2-7B038638F0D5}" name="Company" dataDxfId="30"/>
    <tableColumn id="3" xr3:uid="{39DAF8FB-7BC2-49D0-AF8C-DE05904C2C8C}" name="gold (oz)" dataDxfId="29"/>
    <tableColumn id="4" xr3:uid="{82ED24B2-3BA0-4775-A1D5-21AEC9772CF0}" name="silver (koz)" dataDxfId="28"/>
    <tableColumn id="5" xr3:uid="{31DDB04C-9710-44C4-B0AA-5BCBAD9A7B39}" name="lead" dataDxfId="27"/>
    <tableColumn id="6" xr3:uid="{6E0BB850-63D3-47A4-8213-05C4A5B20A29}" name="zinc" dataDxfId="26"/>
    <tableColumn id="8" xr3:uid="{1F14577B-F710-4602-ACBE-06CDE1047C94}" name="Copper" dataDxfId="18"/>
    <tableColumn id="7" xr3:uid="{B8EAF9E9-6359-496C-AA75-9AE549B93F40}" name="Comments" dataDxfId="25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79525A94-EC2E-4FAF-8ED6-221FA6015789}" name="Table3" displayName="Table3" ref="A1:L18" totalsRowShown="0" headerRowDxfId="5" headerRowBorderDxfId="16" tableBorderDxfId="17" totalsRowBorderDxfId="15">
  <autoFilter ref="A1:L18" xr:uid="{79525A94-EC2E-4FAF-8ED6-221FA6015789}"/>
  <tableColumns count="12">
    <tableColumn id="1" xr3:uid="{39303744-671F-4013-96E2-05E54CD5AFDC}" name="Company" dataDxfId="14"/>
    <tableColumn id="2" xr3:uid="{142AAAE4-6D71-4DA1-9286-91B2503CD0C4}" name="Mkt cap ($m)" dataDxfId="13"/>
    <tableColumn id="3" xr3:uid="{D36BA761-BDEB-4B08-82D8-5603EDD7FF5D}" name="P/E ratio" dataDxfId="12"/>
    <tableColumn id="4" xr3:uid="{4DD8BA09-7CC0-4985-95EC-C321DECA0B00}" name="gold (oz)" dataDxfId="11">
      <calculatedColumnFormula>Producton!C2*Prices!$C$2</calculatedColumnFormula>
    </tableColumn>
    <tableColumn id="5" xr3:uid="{C19A4865-0DA4-49D1-914D-EDCAF8A60764}" name="silver (koz)" dataDxfId="10">
      <calculatedColumnFormula>Producton!D2*Prices!$C$3*1000</calculatedColumnFormula>
    </tableColumn>
    <tableColumn id="6" xr3:uid="{9BBD5D14-874C-4DA7-B096-650781C608C3}" name="lead (tons)" dataDxfId="9">
      <calculatedColumnFormula>Producton!E2*Prices!$C$5</calculatedColumnFormula>
    </tableColumn>
    <tableColumn id="7" xr3:uid="{77374A86-952E-4623-8490-D3488F99890B}" name="zinc (tons)" dataDxfId="8">
      <calculatedColumnFormula>Producton!F2*Prices!$C$6</calculatedColumnFormula>
    </tableColumn>
    <tableColumn id="11" xr3:uid="{20D8E830-15F5-4915-BE1D-D18F28E81899}" name="Copper (tons)" dataDxfId="7">
      <calculatedColumnFormula>Producton!G3*Prices!$C$7</calculatedColumnFormula>
    </tableColumn>
    <tableColumn id="12" xr3:uid="{074B199D-F255-49F9-BB15-443C4C7D73F6}" name="Total Base Metal Rev" dataDxfId="6">
      <calculatedColumnFormula>Table3[[#This Row],[lead (tons)]]+Table3[[#This Row],[zinc (tons)]]+Table3[[#This Row],[Copper (tons)]]</calculatedColumnFormula>
    </tableColumn>
    <tableColumn id="8" xr3:uid="{5F4D86E3-8F44-47B4-8286-FB4ACB9FFE20}" name="Tot Rev" dataDxfId="4">
      <calculatedColumnFormula>D2+E2+F2+G2</calculatedColumnFormula>
    </tableColumn>
    <tableColumn id="9" xr3:uid="{A6A1FC0C-DC61-4C19-858B-786511BD08EA}" name="% Silver" dataDxfId="2" dataCellStyle="Percent">
      <calculatedColumnFormula>E2/J2</calculatedColumnFormula>
    </tableColumn>
    <tableColumn id="10" xr3:uid="{D5BC5563-A728-48B3-8063-B027C460E3FC}" name="Comments" dataDxfId="3"/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C12EE89D-0A34-4D68-9C99-8BDD76B91C03}" name="Table38" displayName="Table38" ref="A1:E17" totalsRowShown="0">
  <autoFilter ref="A1:E17" xr:uid="{79525A94-EC2E-4FAF-8ED6-221FA6015789}"/>
  <tableColumns count="5">
    <tableColumn id="1" xr3:uid="{DA631941-7AF2-46DA-B5DC-CF46EEF221C0}" name="Company"/>
    <tableColumn id="5" xr3:uid="{BC6FF2DE-9B61-429E-9113-D9D184BFA68C}" name="silver" dataDxfId="23">
      <calculatedColumnFormula>Producton!D2*Prices!$C$3*1000</calculatedColumnFormula>
    </tableColumn>
    <tableColumn id="11" xr3:uid="{49F55758-C0D9-4507-A715-60C1AE4BAC9A}" name="gold" dataDxfId="22"/>
    <tableColumn id="6" xr3:uid="{FC625502-4027-4260-84E5-FA459AB026E7}" name="Base metals " dataDxfId="0">
      <calculatedColumnFormula>Table3[[#This Row],[Total Base Metal Rev]]</calculatedColumnFormula>
    </tableColumn>
    <tableColumn id="8" xr3:uid="{903FE082-52C8-4E97-9108-4E087893A511}" name="Tot Rev" dataDxfId="1">
      <calculatedColumnFormula>Table3[[#This Row],[Tot Rev]]</calculatedColumnFormula>
    </tableColumn>
  </tableColumns>
  <tableStyleInfo name="TableStyleLight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A3B8AF7D-FD65-4498-A682-FC5D0FD8627B}" name="Table389" displayName="Table389" ref="A19:D35" totalsRowShown="0">
  <autoFilter ref="A19:D35" xr:uid="{A3B8AF7D-FD65-4498-A682-FC5D0FD8627B}"/>
  <tableColumns count="4">
    <tableColumn id="1" xr3:uid="{171E12EA-47F5-4CD1-93F5-E8157BBA6BF2}" name="Company"/>
    <tableColumn id="5" xr3:uid="{D5B63718-A3FE-4076-ADAA-46A710633A1E}" name="Silver" dataDxfId="21">
      <calculatedColumnFormula>B2/$E2</calculatedColumnFormula>
    </tableColumn>
    <tableColumn id="11" xr3:uid="{BB7BA107-68F1-4B71-9ED7-236FE30AB5AA}" name="Gold" dataDxfId="20">
      <calculatedColumnFormula>C2/$E2</calculatedColumnFormula>
    </tableColumn>
    <tableColumn id="6" xr3:uid="{C809D602-768A-4B27-8ED0-8A0C01A1EF56}" name="Base" dataDxfId="19">
      <calculatedColumnFormula>D2/$E2</calculatedColumnFormula>
    </tableColumn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A22289-A61D-4A4B-81D3-78E08EE09997}">
  <dimension ref="A1:P18"/>
  <sheetViews>
    <sheetView workbookViewId="0">
      <selection activeCell="H18" sqref="H18"/>
    </sheetView>
  </sheetViews>
  <sheetFormatPr defaultRowHeight="15" x14ac:dyDescent="0.25"/>
  <cols>
    <col min="1" max="1" width="13.7109375" bestFit="1" customWidth="1"/>
    <col min="2" max="2" width="32.140625" customWidth="1"/>
    <col min="3" max="3" width="10.85546875" customWidth="1"/>
    <col min="4" max="4" width="15.140625" bestFit="1" customWidth="1"/>
    <col min="8" max="8" width="66.7109375" bestFit="1" customWidth="1"/>
    <col min="16" max="16" width="18" bestFit="1" customWidth="1"/>
  </cols>
  <sheetData>
    <row r="1" spans="1:16" x14ac:dyDescent="0.25">
      <c r="A1" s="10" t="s">
        <v>70</v>
      </c>
      <c r="B1" s="11" t="s">
        <v>69</v>
      </c>
      <c r="C1" s="11" t="s">
        <v>22</v>
      </c>
      <c r="D1" s="11" t="s">
        <v>23</v>
      </c>
      <c r="E1" s="11" t="s">
        <v>24</v>
      </c>
      <c r="F1" s="11" t="s">
        <v>25</v>
      </c>
      <c r="G1" s="12" t="s">
        <v>82</v>
      </c>
      <c r="H1" s="12" t="s">
        <v>26</v>
      </c>
    </row>
    <row r="2" spans="1:16" x14ac:dyDescent="0.25">
      <c r="A2" s="7" t="s">
        <v>45</v>
      </c>
      <c r="B2" s="5" t="s">
        <v>12</v>
      </c>
      <c r="C2" s="5">
        <f>2367*1.33</f>
        <v>3148.11</v>
      </c>
      <c r="D2" s="5">
        <f>3555*1.33</f>
        <v>4728.1500000000005</v>
      </c>
      <c r="E2" s="5">
        <v>0</v>
      </c>
      <c r="F2" s="5">
        <v>0</v>
      </c>
      <c r="G2" s="9"/>
      <c r="H2" s="9" t="s">
        <v>27</v>
      </c>
    </row>
    <row r="3" spans="1:16" x14ac:dyDescent="0.25">
      <c r="A3" s="7" t="s">
        <v>3</v>
      </c>
      <c r="B3" s="5" t="s">
        <v>10</v>
      </c>
      <c r="C3" s="5">
        <v>0</v>
      </c>
      <c r="D3" s="5">
        <v>1880</v>
      </c>
      <c r="E3" s="5">
        <v>0</v>
      </c>
      <c r="F3" s="5">
        <v>0</v>
      </c>
      <c r="G3" s="9"/>
      <c r="H3" s="9"/>
    </row>
    <row r="4" spans="1:16" x14ac:dyDescent="0.25">
      <c r="A4" s="7" t="s">
        <v>5</v>
      </c>
      <c r="B4" s="5" t="s">
        <v>18</v>
      </c>
      <c r="C4" s="5">
        <v>315000</v>
      </c>
      <c r="D4" s="5">
        <v>9000</v>
      </c>
      <c r="E4" s="5">
        <v>0</v>
      </c>
      <c r="F4" s="5">
        <v>0</v>
      </c>
      <c r="G4" s="9"/>
      <c r="H4" s="9" t="s">
        <v>53</v>
      </c>
    </row>
    <row r="5" spans="1:16" x14ac:dyDescent="0.25">
      <c r="A5" s="7" t="s">
        <v>2</v>
      </c>
      <c r="B5" s="5" t="s">
        <v>9</v>
      </c>
      <c r="C5" s="5">
        <v>36000</v>
      </c>
      <c r="D5" s="5">
        <v>5700</v>
      </c>
      <c r="E5" s="5">
        <v>0</v>
      </c>
      <c r="F5" s="5">
        <v>0</v>
      </c>
      <c r="G5" s="9"/>
      <c r="H5" s="9" t="s">
        <v>54</v>
      </c>
    </row>
    <row r="6" spans="1:16" x14ac:dyDescent="0.25">
      <c r="A6" s="7" t="s">
        <v>0</v>
      </c>
      <c r="B6" s="5" t="s">
        <v>6</v>
      </c>
      <c r="C6" s="5">
        <v>277000</v>
      </c>
      <c r="D6" s="5">
        <v>10000</v>
      </c>
      <c r="E6" s="5">
        <v>0</v>
      </c>
      <c r="F6" s="5">
        <v>0</v>
      </c>
      <c r="G6" s="9"/>
      <c r="H6" s="9" t="s">
        <v>54</v>
      </c>
    </row>
    <row r="7" spans="1:16" x14ac:dyDescent="0.25">
      <c r="A7" s="7" t="s">
        <v>56</v>
      </c>
      <c r="B7" s="5" t="s">
        <v>17</v>
      </c>
      <c r="C7" s="5">
        <v>280000</v>
      </c>
      <c r="D7" s="5">
        <v>6900</v>
      </c>
      <c r="E7" s="5">
        <v>22500</v>
      </c>
      <c r="F7" s="6">
        <v>16000</v>
      </c>
      <c r="G7" s="22"/>
      <c r="H7" s="9" t="s">
        <v>57</v>
      </c>
    </row>
    <row r="8" spans="1:16" x14ac:dyDescent="0.25">
      <c r="A8" s="7" t="s">
        <v>58</v>
      </c>
      <c r="B8" s="5" t="s">
        <v>16</v>
      </c>
      <c r="C8" s="5">
        <v>635926</v>
      </c>
      <c r="D8" s="5">
        <v>53740</v>
      </c>
      <c r="E8" s="5">
        <v>52950</v>
      </c>
      <c r="F8" s="5">
        <v>99153</v>
      </c>
      <c r="G8" s="9"/>
      <c r="H8" s="9" t="s">
        <v>59</v>
      </c>
    </row>
    <row r="9" spans="1:16" x14ac:dyDescent="0.25">
      <c r="A9" s="7" t="s">
        <v>43</v>
      </c>
      <c r="B9" s="5" t="s">
        <v>44</v>
      </c>
      <c r="C9" s="5">
        <f>3118*4</f>
        <v>12472</v>
      </c>
      <c r="D9" s="5">
        <f>307*4</f>
        <v>1228</v>
      </c>
      <c r="E9" s="5"/>
      <c r="F9" s="5"/>
      <c r="G9" s="9"/>
      <c r="H9" s="9" t="s">
        <v>60</v>
      </c>
    </row>
    <row r="10" spans="1:16" x14ac:dyDescent="0.25">
      <c r="A10" s="7" t="s">
        <v>1</v>
      </c>
      <c r="B10" s="5" t="s">
        <v>8</v>
      </c>
      <c r="C10" s="6">
        <v>201327</v>
      </c>
      <c r="D10" s="6">
        <v>12887</v>
      </c>
      <c r="E10" s="5">
        <v>43010</v>
      </c>
      <c r="F10" s="5">
        <v>63112</v>
      </c>
      <c r="G10" s="9"/>
      <c r="H10" s="9" t="s">
        <v>61</v>
      </c>
      <c r="P10" s="1"/>
    </row>
    <row r="11" spans="1:16" x14ac:dyDescent="0.25">
      <c r="A11" s="7" t="s">
        <v>62</v>
      </c>
      <c r="B11" s="5" t="s">
        <v>11</v>
      </c>
      <c r="C11" s="5">
        <v>228000</v>
      </c>
      <c r="D11" s="5">
        <f>6105*2</f>
        <v>12210</v>
      </c>
      <c r="E11" s="5">
        <v>0</v>
      </c>
      <c r="F11" s="5">
        <v>0</v>
      </c>
      <c r="G11" s="9"/>
      <c r="H11" s="9" t="s">
        <v>72</v>
      </c>
      <c r="P11" s="1"/>
    </row>
    <row r="12" spans="1:16" x14ac:dyDescent="0.25">
      <c r="A12" s="7" t="s">
        <v>13</v>
      </c>
      <c r="B12" s="5" t="s">
        <v>7</v>
      </c>
      <c r="C12" s="5">
        <v>550000</v>
      </c>
      <c r="D12" s="5">
        <v>18000</v>
      </c>
      <c r="E12" s="5">
        <v>15000</v>
      </c>
      <c r="F12" s="5">
        <v>35000</v>
      </c>
      <c r="G12" s="9">
        <v>5.5</v>
      </c>
      <c r="H12" s="9" t="s">
        <v>63</v>
      </c>
    </row>
    <row r="13" spans="1:16" x14ac:dyDescent="0.25">
      <c r="A13" s="7" t="s">
        <v>4</v>
      </c>
      <c r="B13" s="5" t="s">
        <v>19</v>
      </c>
      <c r="C13" s="5">
        <v>0</v>
      </c>
      <c r="D13" s="5">
        <v>7000</v>
      </c>
      <c r="E13" s="5">
        <v>68400</v>
      </c>
      <c r="F13" s="5">
        <v>15000</v>
      </c>
      <c r="G13" s="9"/>
      <c r="H13" s="9" t="s">
        <v>65</v>
      </c>
    </row>
    <row r="14" spans="1:16" x14ac:dyDescent="0.25">
      <c r="A14" s="7" t="s">
        <v>14</v>
      </c>
      <c r="B14" s="5" t="s">
        <v>15</v>
      </c>
      <c r="C14" s="5">
        <v>525000</v>
      </c>
      <c r="D14" s="5">
        <v>8250</v>
      </c>
      <c r="E14" s="5">
        <v>0</v>
      </c>
      <c r="F14" s="5">
        <v>0</v>
      </c>
      <c r="G14" s="9">
        <v>0</v>
      </c>
      <c r="H14" s="9" t="s">
        <v>88</v>
      </c>
    </row>
    <row r="15" spans="1:16" x14ac:dyDescent="0.25">
      <c r="A15" s="8" t="s">
        <v>39</v>
      </c>
      <c r="B15" s="5" t="s">
        <v>38</v>
      </c>
      <c r="C15" s="5">
        <v>295</v>
      </c>
      <c r="D15" s="5">
        <v>617</v>
      </c>
      <c r="E15" s="5">
        <v>250</v>
      </c>
      <c r="F15" s="5"/>
      <c r="G15" s="9">
        <v>0</v>
      </c>
      <c r="H15" s="9" t="s">
        <v>68</v>
      </c>
    </row>
    <row r="16" spans="1:16" x14ac:dyDescent="0.25">
      <c r="A16" s="8" t="s">
        <v>87</v>
      </c>
      <c r="B16" s="5" t="s">
        <v>76</v>
      </c>
      <c r="C16" s="5">
        <f>4*3226</f>
        <v>12904</v>
      </c>
      <c r="D16" s="5">
        <f>4*329298/1000</f>
        <v>1317.192</v>
      </c>
      <c r="E16" s="5">
        <f>537608/2000</f>
        <v>268.80399999999997</v>
      </c>
      <c r="F16" s="5">
        <f>677127/2000</f>
        <v>338.56349999999998</v>
      </c>
      <c r="G16" s="9">
        <v>0</v>
      </c>
      <c r="H16" s="9" t="s">
        <v>77</v>
      </c>
    </row>
    <row r="17" spans="1:8" x14ac:dyDescent="0.25">
      <c r="A17" s="8" t="s">
        <v>86</v>
      </c>
      <c r="B17" s="5" t="s">
        <v>80</v>
      </c>
      <c r="C17" s="5"/>
      <c r="D17" s="5">
        <f>(1556+368)*4</f>
        <v>7696</v>
      </c>
      <c r="E17" s="5">
        <f>(2352+1157)*4</f>
        <v>14036</v>
      </c>
      <c r="F17" s="5">
        <f>(20397+3044)*4</f>
        <v>93764</v>
      </c>
      <c r="G17" s="9">
        <f>609*4</f>
        <v>2436</v>
      </c>
      <c r="H17" s="9" t="s">
        <v>81</v>
      </c>
    </row>
    <row r="18" spans="1:8" ht="23.25" x14ac:dyDescent="0.35">
      <c r="A18" s="13" t="s">
        <v>71</v>
      </c>
      <c r="B18" s="14"/>
      <c r="C18" s="15">
        <f>SUM(C2:C17)</f>
        <v>3077072.11</v>
      </c>
      <c r="D18" s="24">
        <f t="shared" ref="D18:G18" si="0">SUM(D2:D17)</f>
        <v>161153.342</v>
      </c>
      <c r="E18" s="15">
        <f t="shared" si="0"/>
        <v>216414.804</v>
      </c>
      <c r="F18" s="15">
        <f t="shared" si="0"/>
        <v>322367.56349999999</v>
      </c>
      <c r="G18" s="15">
        <f t="shared" si="0"/>
        <v>2441.5</v>
      </c>
      <c r="H18" s="16"/>
    </row>
  </sheetData>
  <sortState xmlns:xlrd2="http://schemas.microsoft.com/office/spreadsheetml/2017/richdata2" ref="A2:B14">
    <sortCondition ref="B2:B14"/>
  </sortState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691821-9881-4C8E-B22E-101173DE9FC0}">
  <dimension ref="A1:D12"/>
  <sheetViews>
    <sheetView workbookViewId="0">
      <selection activeCell="C6" sqref="C6"/>
    </sheetView>
  </sheetViews>
  <sheetFormatPr defaultRowHeight="15" x14ac:dyDescent="0.25"/>
  <cols>
    <col min="1" max="1" width="12" bestFit="1" customWidth="1"/>
    <col min="3" max="3" width="10.5703125" bestFit="1" customWidth="1"/>
  </cols>
  <sheetData>
    <row r="1" spans="1:4" x14ac:dyDescent="0.25">
      <c r="A1" t="s">
        <v>28</v>
      </c>
      <c r="B1" t="s">
        <v>30</v>
      </c>
      <c r="C1" t="s">
        <v>33</v>
      </c>
    </row>
    <row r="2" spans="1:4" x14ac:dyDescent="0.25">
      <c r="A2" t="s">
        <v>29</v>
      </c>
      <c r="B2" t="s">
        <v>31</v>
      </c>
      <c r="C2" s="1">
        <v>1824</v>
      </c>
      <c r="D2" t="s">
        <v>35</v>
      </c>
    </row>
    <row r="3" spans="1:4" x14ac:dyDescent="0.25">
      <c r="A3" t="s">
        <v>32</v>
      </c>
      <c r="B3" t="s">
        <v>31</v>
      </c>
      <c r="C3" s="1">
        <v>21.93</v>
      </c>
      <c r="D3" t="s">
        <v>35</v>
      </c>
    </row>
    <row r="4" spans="1:4" x14ac:dyDescent="0.25">
      <c r="A4" t="s">
        <v>32</v>
      </c>
      <c r="B4" t="s">
        <v>37</v>
      </c>
      <c r="C4" s="2">
        <v>30</v>
      </c>
    </row>
    <row r="5" spans="1:4" x14ac:dyDescent="0.25">
      <c r="A5" t="s">
        <v>20</v>
      </c>
      <c r="B5" t="s">
        <v>34</v>
      </c>
      <c r="C5" s="1">
        <v>2180</v>
      </c>
      <c r="D5" t="s">
        <v>36</v>
      </c>
    </row>
    <row r="6" spans="1:4" x14ac:dyDescent="0.25">
      <c r="A6" t="s">
        <v>21</v>
      </c>
      <c r="B6" t="s">
        <v>34</v>
      </c>
      <c r="C6" s="1">
        <v>3961</v>
      </c>
      <c r="D6" t="s">
        <v>36</v>
      </c>
    </row>
    <row r="7" spans="1:4" x14ac:dyDescent="0.25">
      <c r="A7" t="s">
        <v>82</v>
      </c>
      <c r="B7" t="s">
        <v>34</v>
      </c>
      <c r="C7" s="1">
        <f>4.17*2000</f>
        <v>8340</v>
      </c>
      <c r="D7" t="s">
        <v>36</v>
      </c>
    </row>
    <row r="11" spans="1:4" x14ac:dyDescent="0.25">
      <c r="A11" t="s">
        <v>40</v>
      </c>
      <c r="B11">
        <f>C2/C3</f>
        <v>83.17373461012312</v>
      </c>
    </row>
    <row r="12" spans="1:4" x14ac:dyDescent="0.25">
      <c r="A12" t="s">
        <v>41</v>
      </c>
      <c r="B12" s="3">
        <f>C2/50</f>
        <v>36.479999999999997</v>
      </c>
      <c r="C12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598269-E520-46A8-B232-E8AEB1B89EC1}">
  <dimension ref="A1:L23"/>
  <sheetViews>
    <sheetView workbookViewId="0">
      <selection sqref="A1:L23"/>
    </sheetView>
  </sheetViews>
  <sheetFormatPr defaultRowHeight="15" x14ac:dyDescent="0.25"/>
  <cols>
    <col min="1" max="1" width="31.140625" bestFit="1" customWidth="1"/>
    <col min="2" max="2" width="14.5703125" customWidth="1"/>
    <col min="3" max="3" width="10.7109375" customWidth="1"/>
    <col min="4" max="4" width="17.85546875" customWidth="1"/>
    <col min="5" max="5" width="19" bestFit="1" customWidth="1"/>
    <col min="6" max="6" width="16.28515625" bestFit="1" customWidth="1"/>
    <col min="7" max="7" width="18" bestFit="1" customWidth="1"/>
    <col min="8" max="8" width="16.28515625" customWidth="1"/>
    <col min="9" max="9" width="22" bestFit="1" customWidth="1"/>
    <col min="10" max="10" width="19" bestFit="1" customWidth="1"/>
    <col min="11" max="11" width="10.28515625" bestFit="1" customWidth="1"/>
    <col min="12" max="12" width="51.28515625" bestFit="1" customWidth="1"/>
  </cols>
  <sheetData>
    <row r="1" spans="1:12" x14ac:dyDescent="0.25">
      <c r="A1" s="18" t="s">
        <v>69</v>
      </c>
      <c r="B1" s="20" t="s">
        <v>66</v>
      </c>
      <c r="C1" s="20" t="s">
        <v>48</v>
      </c>
      <c r="D1" s="20" t="s">
        <v>22</v>
      </c>
      <c r="E1" s="20" t="s">
        <v>23</v>
      </c>
      <c r="F1" s="20" t="s">
        <v>46</v>
      </c>
      <c r="G1" s="20" t="s">
        <v>47</v>
      </c>
      <c r="H1" s="20" t="s">
        <v>83</v>
      </c>
      <c r="I1" s="20" t="s">
        <v>84</v>
      </c>
      <c r="J1" s="20" t="s">
        <v>50</v>
      </c>
      <c r="K1" s="20" t="s">
        <v>51</v>
      </c>
      <c r="L1" s="17" t="s">
        <v>26</v>
      </c>
    </row>
    <row r="2" spans="1:12" x14ac:dyDescent="0.25">
      <c r="A2" s="7" t="s">
        <v>12</v>
      </c>
      <c r="B2" s="26">
        <v>123</v>
      </c>
      <c r="C2" s="5">
        <v>20.07</v>
      </c>
      <c r="D2" s="19">
        <f>Producton!C2*Prices!$C$2</f>
        <v>5742152.6400000006</v>
      </c>
      <c r="E2" s="25">
        <f>Producton!D2*Prices!$C$3*1000</f>
        <v>103688329.5</v>
      </c>
      <c r="F2" s="19">
        <f>Producton!E2*Prices!$C$5</f>
        <v>0</v>
      </c>
      <c r="G2" s="19">
        <f>Producton!F2*Prices!$C$6</f>
        <v>0</v>
      </c>
      <c r="H2" s="19">
        <f>Producton!G2*Prices!$C$7</f>
        <v>0</v>
      </c>
      <c r="I2" s="19">
        <f>Table3[[#This Row],[lead (tons)]]+Table3[[#This Row],[zinc (tons)]]+Table3[[#This Row],[Copper (tons)]]</f>
        <v>0</v>
      </c>
      <c r="J2" s="19">
        <f>D2+E2+F2+G2</f>
        <v>109430482.14</v>
      </c>
      <c r="K2" s="28">
        <f>E2/J2</f>
        <v>0.94752693648325725</v>
      </c>
      <c r="L2" s="9" t="s">
        <v>27</v>
      </c>
    </row>
    <row r="3" spans="1:12" x14ac:dyDescent="0.25">
      <c r="A3" s="7" t="s">
        <v>10</v>
      </c>
      <c r="B3" s="5">
        <v>716</v>
      </c>
      <c r="C3" s="5" t="s">
        <v>49</v>
      </c>
      <c r="D3" s="19">
        <f>Producton!C3*Prices!$C$2</f>
        <v>0</v>
      </c>
      <c r="E3" s="19">
        <f>Producton!D3*Prices!$C$3*1000</f>
        <v>41228400</v>
      </c>
      <c r="F3" s="19">
        <f>Producton!E3*Prices!$C$5</f>
        <v>0</v>
      </c>
      <c r="G3" s="19">
        <f>Producton!F3*Prices!$C$6</f>
        <v>0</v>
      </c>
      <c r="H3" s="19">
        <f>Producton!G3*Prices!$C$7</f>
        <v>0</v>
      </c>
      <c r="I3" s="19">
        <f>Table3[[#This Row],[lead (tons)]]+Table3[[#This Row],[zinc (tons)]]+Table3[[#This Row],[Copper (tons)]]</f>
        <v>0</v>
      </c>
      <c r="J3" s="19">
        <f t="shared" ref="J3:J15" si="0">D3+E3+F3+G3</f>
        <v>41228400</v>
      </c>
      <c r="K3" s="28">
        <f t="shared" ref="K3:K18" si="1">E3/J3</f>
        <v>1</v>
      </c>
      <c r="L3" s="9"/>
    </row>
    <row r="4" spans="1:12" x14ac:dyDescent="0.25">
      <c r="A4" s="7" t="s">
        <v>18</v>
      </c>
      <c r="B4" s="5">
        <v>1159</v>
      </c>
      <c r="C4" s="5" t="s">
        <v>49</v>
      </c>
      <c r="D4" s="25">
        <f>Producton!C4*Prices!$C$2</f>
        <v>574560000</v>
      </c>
      <c r="E4" s="19">
        <f>Producton!D4*Prices!$C$3*1000</f>
        <v>197370000</v>
      </c>
      <c r="F4" s="19">
        <f>Producton!E4*Prices!$C$5</f>
        <v>0</v>
      </c>
      <c r="G4" s="19">
        <f>Producton!F4*Prices!$C$6</f>
        <v>0</v>
      </c>
      <c r="H4" s="19">
        <f>Producton!G4*Prices!$C$7</f>
        <v>0</v>
      </c>
      <c r="I4" s="19">
        <f>Table3[[#This Row],[lead (tons)]]+Table3[[#This Row],[zinc (tons)]]+Table3[[#This Row],[Copper (tons)]]</f>
        <v>0</v>
      </c>
      <c r="J4" s="19">
        <f t="shared" si="0"/>
        <v>771930000</v>
      </c>
      <c r="K4" s="28">
        <f t="shared" si="1"/>
        <v>0.25568380552640785</v>
      </c>
      <c r="L4" s="9" t="s">
        <v>52</v>
      </c>
    </row>
    <row r="5" spans="1:12" x14ac:dyDescent="0.25">
      <c r="A5" s="7" t="s">
        <v>9</v>
      </c>
      <c r="B5" s="26">
        <v>673</v>
      </c>
      <c r="C5" s="5">
        <v>50.64</v>
      </c>
      <c r="D5" s="19">
        <f>Producton!C5*Prices!$C$2</f>
        <v>65664000</v>
      </c>
      <c r="E5" s="25">
        <f>Producton!D5*Prices!$C$3*1000</f>
        <v>125001000</v>
      </c>
      <c r="F5" s="19">
        <f>Producton!E5*Prices!$C$5</f>
        <v>0</v>
      </c>
      <c r="G5" s="19">
        <f>Producton!F5*Prices!$C$6</f>
        <v>0</v>
      </c>
      <c r="H5" s="19">
        <f>Producton!G5*Prices!$C$7</f>
        <v>0</v>
      </c>
      <c r="I5" s="19">
        <f>Table3[[#This Row],[lead (tons)]]+Table3[[#This Row],[zinc (tons)]]+Table3[[#This Row],[Copper (tons)]]</f>
        <v>0</v>
      </c>
      <c r="J5" s="19">
        <f t="shared" si="0"/>
        <v>190665000</v>
      </c>
      <c r="K5" s="28">
        <f t="shared" si="1"/>
        <v>0.65560538116591927</v>
      </c>
      <c r="L5" s="9"/>
    </row>
    <row r="6" spans="1:12" x14ac:dyDescent="0.25">
      <c r="A6" s="7" t="s">
        <v>6</v>
      </c>
      <c r="B6" s="5">
        <v>2180</v>
      </c>
      <c r="C6" s="5">
        <v>4006</v>
      </c>
      <c r="D6" s="25">
        <f>Producton!C6*Prices!$C$2</f>
        <v>505248000</v>
      </c>
      <c r="E6" s="19">
        <f>Producton!D6*Prices!$C$3*1000</f>
        <v>219300000</v>
      </c>
      <c r="F6" s="19">
        <f>Producton!E6*Prices!$C$5</f>
        <v>0</v>
      </c>
      <c r="G6" s="19">
        <f>Producton!F6*Prices!$C$6</f>
        <v>0</v>
      </c>
      <c r="H6" s="19">
        <f>Producton!G6*Prices!$C$7</f>
        <v>0</v>
      </c>
      <c r="I6" s="19">
        <f>Table3[[#This Row],[lead (tons)]]+Table3[[#This Row],[zinc (tons)]]+Table3[[#This Row],[Copper (tons)]]</f>
        <v>0</v>
      </c>
      <c r="J6" s="19">
        <f t="shared" si="0"/>
        <v>724548000</v>
      </c>
      <c r="K6" s="28">
        <f t="shared" si="1"/>
        <v>0.30267145861971878</v>
      </c>
      <c r="L6" s="9" t="s">
        <v>55</v>
      </c>
    </row>
    <row r="7" spans="1:12" x14ac:dyDescent="0.25">
      <c r="A7" s="7" t="s">
        <v>17</v>
      </c>
      <c r="B7" s="5">
        <v>1130</v>
      </c>
      <c r="C7" s="5">
        <v>35</v>
      </c>
      <c r="D7" s="25">
        <f>Producton!C7*Prices!$C$2</f>
        <v>510720000</v>
      </c>
      <c r="E7" s="19">
        <f>Producton!D7*Prices!$C$3*1000</f>
        <v>151317000</v>
      </c>
      <c r="F7" s="19">
        <f>Producton!E7*Prices!$C$5</f>
        <v>49050000</v>
      </c>
      <c r="G7" s="19">
        <f>Producton!F7*Prices!$C$6</f>
        <v>63376000</v>
      </c>
      <c r="H7" s="19">
        <f>Producton!G7*Prices!$C$7</f>
        <v>0</v>
      </c>
      <c r="I7" s="19">
        <f>Table3[[#This Row],[lead (tons)]]+Table3[[#This Row],[zinc (tons)]]+Table3[[#This Row],[Copper (tons)]]</f>
        <v>112426000</v>
      </c>
      <c r="J7" s="19">
        <f t="shared" si="0"/>
        <v>774463000</v>
      </c>
      <c r="K7" s="28">
        <f t="shared" si="1"/>
        <v>0.19538312353204737</v>
      </c>
      <c r="L7" s="9"/>
    </row>
    <row r="8" spans="1:12" x14ac:dyDescent="0.25">
      <c r="A8" s="7" t="s">
        <v>16</v>
      </c>
      <c r="B8" s="26">
        <v>7801</v>
      </c>
      <c r="C8" s="5">
        <v>32.72</v>
      </c>
      <c r="D8" s="19">
        <f>Producton!C8*Prices!$C$2</f>
        <v>1159929024</v>
      </c>
      <c r="E8" s="25">
        <f>Producton!D8*Prices!$C$3*1000</f>
        <v>1178518200</v>
      </c>
      <c r="F8" s="19">
        <f>Producton!E8*Prices!$C$5</f>
        <v>115431000</v>
      </c>
      <c r="G8" s="19">
        <f>Producton!F8*Prices!$C$6</f>
        <v>392745033</v>
      </c>
      <c r="H8" s="19">
        <f>Producton!G8*Prices!$C$7</f>
        <v>0</v>
      </c>
      <c r="I8" s="19">
        <f>Table3[[#This Row],[lead (tons)]]+Table3[[#This Row],[zinc (tons)]]+Table3[[#This Row],[Copper (tons)]]</f>
        <v>508176033</v>
      </c>
      <c r="J8" s="19">
        <f t="shared" si="0"/>
        <v>2846623257</v>
      </c>
      <c r="K8" s="28">
        <f t="shared" si="1"/>
        <v>0.41400568097726326</v>
      </c>
      <c r="L8" s="9" t="s">
        <v>92</v>
      </c>
    </row>
    <row r="9" spans="1:12" x14ac:dyDescent="0.25">
      <c r="A9" s="7" t="s">
        <v>44</v>
      </c>
      <c r="B9" s="26">
        <v>494</v>
      </c>
      <c r="C9" s="5" t="s">
        <v>49</v>
      </c>
      <c r="D9" s="19">
        <f>Producton!C9*Prices!$C$2</f>
        <v>22748928</v>
      </c>
      <c r="E9" s="25">
        <f>Producton!D9*Prices!$C$3*1000</f>
        <v>26930040</v>
      </c>
      <c r="F9" s="19">
        <f>Producton!E9*Prices!$C$5</f>
        <v>0</v>
      </c>
      <c r="G9" s="19">
        <f>Producton!F9*Prices!$C$6</f>
        <v>0</v>
      </c>
      <c r="H9" s="19">
        <f>Producton!G9*Prices!$C$7</f>
        <v>0</v>
      </c>
      <c r="I9" s="19">
        <f>Table3[[#This Row],[lead (tons)]]+Table3[[#This Row],[zinc (tons)]]+Table3[[#This Row],[Copper (tons)]]</f>
        <v>0</v>
      </c>
      <c r="J9" s="19">
        <f t="shared" si="0"/>
        <v>49678968</v>
      </c>
      <c r="K9" s="28">
        <f t="shared" si="1"/>
        <v>0.54208130893540296</v>
      </c>
      <c r="L9" s="9" t="s">
        <v>79</v>
      </c>
    </row>
    <row r="10" spans="1:12" x14ac:dyDescent="0.25">
      <c r="A10" s="7" t="s">
        <v>8</v>
      </c>
      <c r="B10" s="5">
        <v>3760</v>
      </c>
      <c r="C10" s="5">
        <v>207</v>
      </c>
      <c r="D10" s="25">
        <f>Producton!C10*Prices!$C$2</f>
        <v>367220448</v>
      </c>
      <c r="E10" s="19">
        <f>Producton!D10*Prices!$C$3*1000</f>
        <v>282611910</v>
      </c>
      <c r="F10" s="19">
        <f>Producton!E10*Prices!$C$5</f>
        <v>93761800</v>
      </c>
      <c r="G10" s="19">
        <f>Producton!F10*Prices!$C$6</f>
        <v>249986632</v>
      </c>
      <c r="H10" s="19">
        <f>Producton!G10*Prices!$C$7</f>
        <v>0</v>
      </c>
      <c r="I10" s="19">
        <f>Table3[[#This Row],[lead (tons)]]+Table3[[#This Row],[zinc (tons)]]+Table3[[#This Row],[Copper (tons)]]</f>
        <v>343748432</v>
      </c>
      <c r="J10" s="19">
        <f t="shared" si="0"/>
        <v>993580790</v>
      </c>
      <c r="K10" s="28">
        <f t="shared" si="1"/>
        <v>0.28443777581488872</v>
      </c>
      <c r="L10" s="9"/>
    </row>
    <row r="11" spans="1:12" x14ac:dyDescent="0.25">
      <c r="A11" s="7" t="s">
        <v>11</v>
      </c>
      <c r="B11" s="5">
        <v>507</v>
      </c>
      <c r="C11" s="5">
        <v>16</v>
      </c>
      <c r="D11" s="25">
        <f>Producton!C11*Prices!$C$2</f>
        <v>415872000</v>
      </c>
      <c r="E11" s="19">
        <f>Producton!D11*Prices!$C$3*1000</f>
        <v>267765300</v>
      </c>
      <c r="F11" s="19">
        <f>Producton!E11*Prices!$C$5</f>
        <v>0</v>
      </c>
      <c r="G11" s="19">
        <f>Producton!F11*Prices!$C$6</f>
        <v>0</v>
      </c>
      <c r="H11" s="19">
        <f>Producton!G11*Prices!$C$7</f>
        <v>0</v>
      </c>
      <c r="I11" s="19">
        <f>Table3[[#This Row],[lead (tons)]]+Table3[[#This Row],[zinc (tons)]]+Table3[[#This Row],[Copper (tons)]]</f>
        <v>0</v>
      </c>
      <c r="J11" s="19">
        <f t="shared" si="0"/>
        <v>683637300</v>
      </c>
      <c r="K11" s="28">
        <f t="shared" si="1"/>
        <v>0.39167742895245766</v>
      </c>
      <c r="L11" s="9" t="s">
        <v>90</v>
      </c>
    </row>
    <row r="12" spans="1:12" x14ac:dyDescent="0.25">
      <c r="A12" s="7" t="s">
        <v>7</v>
      </c>
      <c r="B12" s="5">
        <v>3877</v>
      </c>
      <c r="C12" s="5">
        <v>21</v>
      </c>
      <c r="D12" s="25">
        <f>Producton!C12*Prices!$C$2</f>
        <v>1003200000</v>
      </c>
      <c r="E12" s="19">
        <f>Producton!D12*Prices!$C$3*1000</f>
        <v>394740000</v>
      </c>
      <c r="F12" s="19">
        <f>Producton!E12*Prices!$C$5</f>
        <v>32700000</v>
      </c>
      <c r="G12" s="19">
        <f>Producton!F12*Prices!$C$6</f>
        <v>138635000</v>
      </c>
      <c r="H12" s="19">
        <f>Producton!G12*Prices!$C$7</f>
        <v>45870</v>
      </c>
      <c r="I12" s="19">
        <f>Table3[[#This Row],[lead (tons)]]+Table3[[#This Row],[zinc (tons)]]+Table3[[#This Row],[Copper (tons)]]</f>
        <v>171380870</v>
      </c>
      <c r="J12" s="19">
        <f t="shared" si="0"/>
        <v>1569275000</v>
      </c>
      <c r="K12" s="28">
        <f t="shared" si="1"/>
        <v>0.25154290994248935</v>
      </c>
      <c r="L12" s="9" t="s">
        <v>64</v>
      </c>
    </row>
    <row r="13" spans="1:12" x14ac:dyDescent="0.25">
      <c r="A13" s="7" t="s">
        <v>19</v>
      </c>
      <c r="B13" s="26">
        <v>591</v>
      </c>
      <c r="C13" s="5">
        <v>33</v>
      </c>
      <c r="D13" s="19">
        <f>Producton!C13*Prices!$C$2</f>
        <v>0</v>
      </c>
      <c r="E13" s="25">
        <f>Producton!D13*Prices!$C$3*1000</f>
        <v>153510000</v>
      </c>
      <c r="F13" s="19">
        <f>Producton!E13*Prices!$C$5</f>
        <v>149112000</v>
      </c>
      <c r="G13" s="19">
        <f>Producton!F13*Prices!$C$6</f>
        <v>59415000</v>
      </c>
      <c r="H13" s="19">
        <f>Producton!G13*Prices!$C$7</f>
        <v>0</v>
      </c>
      <c r="I13" s="19">
        <f>Table3[[#This Row],[lead (tons)]]+Table3[[#This Row],[zinc (tons)]]+Table3[[#This Row],[Copper (tons)]]</f>
        <v>208527000</v>
      </c>
      <c r="J13" s="19">
        <f t="shared" si="0"/>
        <v>362037000</v>
      </c>
      <c r="K13" s="28">
        <f t="shared" si="1"/>
        <v>0.42401743468209052</v>
      </c>
      <c r="L13" s="9" t="s">
        <v>89</v>
      </c>
    </row>
    <row r="14" spans="1:12" x14ac:dyDescent="0.25">
      <c r="A14" s="7" t="s">
        <v>15</v>
      </c>
      <c r="B14" s="5">
        <v>3533</v>
      </c>
      <c r="C14" s="5">
        <v>16</v>
      </c>
      <c r="D14" s="25">
        <f>Producton!C14*Prices!$C$2</f>
        <v>957600000</v>
      </c>
      <c r="E14" s="19">
        <f>Producton!D14*Prices!$C$3*1000</f>
        <v>180922500</v>
      </c>
      <c r="F14" s="19">
        <f>Producton!E14*Prices!$C$5</f>
        <v>0</v>
      </c>
      <c r="G14" s="19">
        <f>Producton!F14*Prices!$C$6</f>
        <v>0</v>
      </c>
      <c r="H14" s="19">
        <f>Producton!G14*Prices!$C$7</f>
        <v>0</v>
      </c>
      <c r="I14" s="19">
        <f>Table3[[#This Row],[lead (tons)]]+Table3[[#This Row],[zinc (tons)]]+Table3[[#This Row],[Copper (tons)]]</f>
        <v>0</v>
      </c>
      <c r="J14" s="19">
        <f t="shared" si="0"/>
        <v>1138522500</v>
      </c>
      <c r="K14" s="28">
        <f t="shared" si="1"/>
        <v>0.15890990296634455</v>
      </c>
      <c r="L14" s="9"/>
    </row>
    <row r="15" spans="1:12" x14ac:dyDescent="0.25">
      <c r="A15" s="7" t="s">
        <v>38</v>
      </c>
      <c r="B15" s="32">
        <v>39</v>
      </c>
      <c r="C15" s="5" t="s">
        <v>49</v>
      </c>
      <c r="D15" s="19">
        <f>Producton!C15*Prices!$C$2</f>
        <v>538080</v>
      </c>
      <c r="E15" s="25">
        <f>Producton!D15*Prices!$C$3*1000</f>
        <v>13530810</v>
      </c>
      <c r="F15" s="19">
        <f>Producton!E15*Prices!$C$5</f>
        <v>545000</v>
      </c>
      <c r="G15" s="19">
        <f>Producton!F15*Prices!$C$6</f>
        <v>0</v>
      </c>
      <c r="H15" s="19">
        <f>Producton!G15*Prices!$C$7</f>
        <v>0</v>
      </c>
      <c r="I15" s="19">
        <f>Table3[[#This Row],[lead (tons)]]+Table3[[#This Row],[zinc (tons)]]+Table3[[#This Row],[Copper (tons)]]</f>
        <v>545000</v>
      </c>
      <c r="J15" s="19">
        <f t="shared" si="0"/>
        <v>14613890</v>
      </c>
      <c r="K15" s="28">
        <f t="shared" si="1"/>
        <v>0.9258869472809772</v>
      </c>
      <c r="L15" s="9" t="s">
        <v>67</v>
      </c>
    </row>
    <row r="16" spans="1:12" x14ac:dyDescent="0.25">
      <c r="A16" s="8" t="s">
        <v>78</v>
      </c>
      <c r="B16" s="32">
        <v>96</v>
      </c>
      <c r="C16" s="5" t="s">
        <v>49</v>
      </c>
      <c r="D16" s="19">
        <f>Producton!C16*Prices!$C$2</f>
        <v>23536896</v>
      </c>
      <c r="E16" s="25">
        <f>Producton!D16*Prices!$C$3*1000</f>
        <v>28886020.560000002</v>
      </c>
      <c r="F16" s="19">
        <f>Producton!E16*Prices!$C$5</f>
        <v>585992.72</v>
      </c>
      <c r="G16" s="19">
        <f>Producton!F16*Prices!$C$6</f>
        <v>1341050.0234999999</v>
      </c>
      <c r="H16" s="19">
        <f>Producton!G16*Prices!$C$7</f>
        <v>0</v>
      </c>
      <c r="I16" s="19">
        <f>Table3[[#This Row],[lead (tons)]]+Table3[[#This Row],[zinc (tons)]]+Table3[[#This Row],[Copper (tons)]]</f>
        <v>1927042.7434999999</v>
      </c>
      <c r="J16" s="19">
        <f>D16+E16+F16+G16</f>
        <v>54349959.303500004</v>
      </c>
      <c r="K16" s="28">
        <f>E16/J16</f>
        <v>0.53148191700927017</v>
      </c>
      <c r="L16" s="9"/>
    </row>
    <row r="17" spans="1:12" x14ac:dyDescent="0.25">
      <c r="A17" s="8" t="s">
        <v>80</v>
      </c>
      <c r="B17" s="5">
        <v>99</v>
      </c>
      <c r="C17" s="5" t="s">
        <v>49</v>
      </c>
      <c r="D17" s="19">
        <f>Producton!C17*Prices!$C$2</f>
        <v>0</v>
      </c>
      <c r="E17" s="19">
        <f>Producton!D17*Prices!$C$3*1000</f>
        <v>168773280</v>
      </c>
      <c r="F17" s="19">
        <f>Producton!E17*Prices!$C$5</f>
        <v>30598480</v>
      </c>
      <c r="G17" s="19">
        <f>Producton!F17*Prices!$C$6</f>
        <v>371399204</v>
      </c>
      <c r="H17" s="19">
        <f>Producton!G17*Prices!$C$7</f>
        <v>20316240</v>
      </c>
      <c r="I17" s="25">
        <f>Table3[[#This Row],[lead (tons)]]+Table3[[#This Row],[zinc (tons)]]+Table3[[#This Row],[Copper (tons)]]</f>
        <v>422313924</v>
      </c>
      <c r="J17" s="19">
        <f>D17+E17+F17+G17</f>
        <v>570770964</v>
      </c>
      <c r="K17" s="28">
        <f>E17/J17</f>
        <v>0.29569352795598763</v>
      </c>
      <c r="L17" s="9" t="s">
        <v>85</v>
      </c>
    </row>
    <row r="18" spans="1:12" x14ac:dyDescent="0.25">
      <c r="A18" s="23" t="s">
        <v>73</v>
      </c>
      <c r="B18" s="14"/>
      <c r="C18" s="14"/>
      <c r="D18" s="21">
        <f>Producton!C18*Prices!$C$2</f>
        <v>5612579528.6399994</v>
      </c>
      <c r="E18" s="21">
        <f>Producton!D18*Prices!$C$3*1000</f>
        <v>3534092790.0599999</v>
      </c>
      <c r="F18" s="21">
        <f>Producton!E18*Prices!$C$5</f>
        <v>471784272.72000003</v>
      </c>
      <c r="G18" s="21">
        <f>Producton!F18*Prices!$C$6</f>
        <v>1276897919.0235</v>
      </c>
      <c r="H18" s="21">
        <f>Producton!G18*Prices!$C$7</f>
        <v>20362110</v>
      </c>
      <c r="I18" s="21">
        <f>Table3[[#This Row],[lead (tons)]]+Table3[[#This Row],[zinc (tons)]]+Table3[[#This Row],[Copper (tons)]]</f>
        <v>1769044301.7435</v>
      </c>
      <c r="J18" s="21">
        <f t="shared" ref="J18" si="2">D18+E18+F18+G18</f>
        <v>10895354510.443499</v>
      </c>
      <c r="K18" s="29">
        <f t="shared" si="1"/>
        <v>0.32436693883365375</v>
      </c>
      <c r="L18" s="16"/>
    </row>
    <row r="21" spans="1:12" x14ac:dyDescent="0.25">
      <c r="A21" s="27"/>
      <c r="B21" t="s">
        <v>93</v>
      </c>
    </row>
    <row r="22" spans="1:12" x14ac:dyDescent="0.25">
      <c r="A22" s="30"/>
      <c r="B22" t="s">
        <v>95</v>
      </c>
    </row>
    <row r="23" spans="1:12" x14ac:dyDescent="0.25">
      <c r="A23" s="31"/>
      <c r="B23" t="s">
        <v>94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417B2D-19D3-48BF-97D9-BFD27F45D389}">
  <dimension ref="A1:E54"/>
  <sheetViews>
    <sheetView topLeftCell="A25" workbookViewId="0">
      <selection activeCell="A48" sqref="A48"/>
    </sheetView>
  </sheetViews>
  <sheetFormatPr defaultRowHeight="15" x14ac:dyDescent="0.25"/>
  <cols>
    <col min="1" max="1" width="31.140625" bestFit="1" customWidth="1"/>
    <col min="2" max="2" width="18" bestFit="1" customWidth="1"/>
    <col min="3" max="3" width="18" customWidth="1"/>
    <col min="4" max="6" width="18" bestFit="1" customWidth="1"/>
  </cols>
  <sheetData>
    <row r="1" spans="1:5" x14ac:dyDescent="0.25">
      <c r="A1" t="s">
        <v>69</v>
      </c>
      <c r="B1" t="s">
        <v>74</v>
      </c>
      <c r="C1" t="s">
        <v>75</v>
      </c>
      <c r="D1" t="s">
        <v>91</v>
      </c>
      <c r="E1" t="s">
        <v>50</v>
      </c>
    </row>
    <row r="2" spans="1:5" x14ac:dyDescent="0.25">
      <c r="A2" t="s">
        <v>12</v>
      </c>
      <c r="B2" s="3">
        <f>Producton!D2*Prices!$C$3*1000</f>
        <v>103688329.5</v>
      </c>
      <c r="C2" s="3">
        <f>Producton!C2*Prices!$C$2</f>
        <v>5742152.6400000006</v>
      </c>
      <c r="D2" s="3">
        <f>Table3[[#This Row],[Total Base Metal Rev]]</f>
        <v>0</v>
      </c>
      <c r="E2" s="3">
        <f>Table3[[#This Row],[Tot Rev]]</f>
        <v>109430482.14</v>
      </c>
    </row>
    <row r="3" spans="1:5" x14ac:dyDescent="0.25">
      <c r="A3" t="s">
        <v>10</v>
      </c>
      <c r="B3" s="3">
        <f>Producton!D3*Prices!$C$3*1000</f>
        <v>41228400</v>
      </c>
      <c r="C3" s="3">
        <f>Producton!C3*Prices!$C$2</f>
        <v>0</v>
      </c>
      <c r="D3" s="3">
        <f>Table3[[#This Row],[Total Base Metal Rev]]</f>
        <v>0</v>
      </c>
      <c r="E3" s="3">
        <f>Table3[[#This Row],[Tot Rev]]</f>
        <v>41228400</v>
      </c>
    </row>
    <row r="4" spans="1:5" x14ac:dyDescent="0.25">
      <c r="A4" t="s">
        <v>18</v>
      </c>
      <c r="B4" s="3">
        <f>Producton!D4*Prices!$C$3*1000</f>
        <v>197370000</v>
      </c>
      <c r="C4" s="3">
        <f>Producton!C4*Prices!$C$2</f>
        <v>574560000</v>
      </c>
      <c r="D4" s="3">
        <f>Table3[[#This Row],[Total Base Metal Rev]]</f>
        <v>0</v>
      </c>
      <c r="E4" s="3">
        <f>Table3[[#This Row],[Tot Rev]]</f>
        <v>771930000</v>
      </c>
    </row>
    <row r="5" spans="1:5" x14ac:dyDescent="0.25">
      <c r="A5" t="s">
        <v>9</v>
      </c>
      <c r="B5" s="3">
        <f>Producton!D5*Prices!$C$3*1000</f>
        <v>125001000</v>
      </c>
      <c r="C5" s="3">
        <f>Producton!C5*Prices!$C$2</f>
        <v>65664000</v>
      </c>
      <c r="D5" s="3">
        <f>Table3[[#This Row],[Total Base Metal Rev]]</f>
        <v>0</v>
      </c>
      <c r="E5" s="3">
        <f>Table3[[#This Row],[Tot Rev]]</f>
        <v>190665000</v>
      </c>
    </row>
    <row r="6" spans="1:5" x14ac:dyDescent="0.25">
      <c r="A6" t="s">
        <v>6</v>
      </c>
      <c r="B6" s="3">
        <f>Producton!D6*Prices!$C$3*1000</f>
        <v>219300000</v>
      </c>
      <c r="C6" s="3">
        <f>Producton!C6*Prices!$C$2</f>
        <v>505248000</v>
      </c>
      <c r="D6" s="3">
        <f>Table3[[#This Row],[Total Base Metal Rev]]</f>
        <v>0</v>
      </c>
      <c r="E6" s="3">
        <f>Table3[[#This Row],[Tot Rev]]</f>
        <v>724548000</v>
      </c>
    </row>
    <row r="7" spans="1:5" x14ac:dyDescent="0.25">
      <c r="A7" t="s">
        <v>17</v>
      </c>
      <c r="B7" s="3">
        <f>Producton!D7*Prices!$C$3*1000</f>
        <v>151317000</v>
      </c>
      <c r="C7" s="3">
        <f>Producton!C7*Prices!$C$2</f>
        <v>510720000</v>
      </c>
      <c r="D7" s="3">
        <f>Table3[[#This Row],[Total Base Metal Rev]]</f>
        <v>112426000</v>
      </c>
      <c r="E7" s="3">
        <f>Table3[[#This Row],[Tot Rev]]</f>
        <v>774463000</v>
      </c>
    </row>
    <row r="8" spans="1:5" x14ac:dyDescent="0.25">
      <c r="A8" t="s">
        <v>16</v>
      </c>
      <c r="B8" s="3">
        <f>Producton!D8*Prices!$C$3*1000</f>
        <v>1178518200</v>
      </c>
      <c r="C8" s="3">
        <f>Producton!C8*Prices!$C$2</f>
        <v>1159929024</v>
      </c>
      <c r="D8" s="3">
        <f>Table3[[#This Row],[Total Base Metal Rev]]</f>
        <v>508176033</v>
      </c>
      <c r="E8" s="3">
        <f>Table3[[#This Row],[Tot Rev]]</f>
        <v>2846623257</v>
      </c>
    </row>
    <row r="9" spans="1:5" x14ac:dyDescent="0.25">
      <c r="A9" s="5" t="s">
        <v>44</v>
      </c>
      <c r="B9" s="3">
        <f>Producton!D9*Prices!$C$3*1000</f>
        <v>26930040</v>
      </c>
      <c r="C9" s="3">
        <f>Producton!C9*Prices!$C$2</f>
        <v>22748928</v>
      </c>
      <c r="D9" s="3">
        <f>Table3[[#This Row],[Total Base Metal Rev]]</f>
        <v>0</v>
      </c>
      <c r="E9" s="3">
        <f>Table3[[#This Row],[Tot Rev]]</f>
        <v>49678968</v>
      </c>
    </row>
    <row r="10" spans="1:5" x14ac:dyDescent="0.25">
      <c r="A10" t="s">
        <v>8</v>
      </c>
      <c r="B10" s="3">
        <f>Producton!D10*Prices!$C$3*1000</f>
        <v>282611910</v>
      </c>
      <c r="C10" s="3">
        <f>Producton!C10*Prices!$C$2</f>
        <v>367220448</v>
      </c>
      <c r="D10" s="3">
        <f>Table3[[#This Row],[Total Base Metal Rev]]</f>
        <v>343748432</v>
      </c>
      <c r="E10" s="3">
        <f>Table3[[#This Row],[Tot Rev]]</f>
        <v>993580790</v>
      </c>
    </row>
    <row r="11" spans="1:5" x14ac:dyDescent="0.25">
      <c r="A11" t="s">
        <v>11</v>
      </c>
      <c r="B11" s="3">
        <f>Producton!D11*Prices!$C$3*1000</f>
        <v>267765300</v>
      </c>
      <c r="C11" s="3">
        <f>Producton!C11*Prices!$C$2</f>
        <v>415872000</v>
      </c>
      <c r="D11" s="3">
        <f>Table3[[#This Row],[Total Base Metal Rev]]</f>
        <v>0</v>
      </c>
      <c r="E11" s="3">
        <f>Table3[[#This Row],[Tot Rev]]</f>
        <v>683637300</v>
      </c>
    </row>
    <row r="12" spans="1:5" x14ac:dyDescent="0.25">
      <c r="A12" t="s">
        <v>7</v>
      </c>
      <c r="B12" s="3">
        <f>Producton!D12*Prices!$C$3*1000</f>
        <v>394740000</v>
      </c>
      <c r="C12" s="3">
        <f>Producton!C12*Prices!$C$2</f>
        <v>1003200000</v>
      </c>
      <c r="D12" s="3">
        <f>Table3[[#This Row],[Total Base Metal Rev]]</f>
        <v>171380870</v>
      </c>
      <c r="E12" s="3">
        <f>Table3[[#This Row],[Tot Rev]]</f>
        <v>1569275000</v>
      </c>
    </row>
    <row r="13" spans="1:5" x14ac:dyDescent="0.25">
      <c r="A13" t="s">
        <v>19</v>
      </c>
      <c r="B13" s="3">
        <f>Producton!D13*Prices!$C$3*1000</f>
        <v>153510000</v>
      </c>
      <c r="C13" s="3">
        <f>Producton!C13*Prices!$C$2</f>
        <v>0</v>
      </c>
      <c r="D13" s="3">
        <f>Table3[[#This Row],[Total Base Metal Rev]]</f>
        <v>208527000</v>
      </c>
      <c r="E13" s="3">
        <f>Table3[[#This Row],[Tot Rev]]</f>
        <v>362037000</v>
      </c>
    </row>
    <row r="14" spans="1:5" x14ac:dyDescent="0.25">
      <c r="A14" t="s">
        <v>15</v>
      </c>
      <c r="B14" s="3">
        <f>Producton!D14*Prices!$C$3*1000</f>
        <v>180922500</v>
      </c>
      <c r="C14" s="3">
        <f>Producton!C14*Prices!$C$2</f>
        <v>957600000</v>
      </c>
      <c r="D14" s="3">
        <f>Table3[[#This Row],[Total Base Metal Rev]]</f>
        <v>0</v>
      </c>
      <c r="E14" s="3">
        <f>Table3[[#This Row],[Tot Rev]]</f>
        <v>1138522500</v>
      </c>
    </row>
    <row r="15" spans="1:5" x14ac:dyDescent="0.25">
      <c r="A15" t="s">
        <v>38</v>
      </c>
      <c r="B15" s="3">
        <f>Producton!D15*Prices!$C$3*1000</f>
        <v>13530810</v>
      </c>
      <c r="C15" s="3">
        <f>Producton!C15*Prices!$C$2</f>
        <v>538080</v>
      </c>
      <c r="D15" s="3">
        <f>Table3[[#This Row],[Total Base Metal Rev]]</f>
        <v>545000</v>
      </c>
      <c r="E15" s="3">
        <f>Table3[[#This Row],[Tot Rev]]</f>
        <v>14613890</v>
      </c>
    </row>
    <row r="16" spans="1:5" x14ac:dyDescent="0.25">
      <c r="A16" s="5" t="s">
        <v>76</v>
      </c>
      <c r="B16" s="3">
        <f>Producton!D16*Prices!$C$3*1000</f>
        <v>28886020.560000002</v>
      </c>
      <c r="C16" s="3">
        <f>Producton!C16*Prices!$C$2</f>
        <v>23536896</v>
      </c>
      <c r="D16" s="3">
        <f>Table3[[#This Row],[Total Base Metal Rev]]</f>
        <v>1927042.7434999999</v>
      </c>
      <c r="E16" s="3">
        <f>Table3[[#This Row],[Tot Rev]]</f>
        <v>54349959.303500004</v>
      </c>
    </row>
    <row r="17" spans="1:5" x14ac:dyDescent="0.25">
      <c r="A17" s="5" t="s">
        <v>80</v>
      </c>
      <c r="B17" s="3">
        <f>Producton!D17*Prices!$C$3*1000</f>
        <v>168773280</v>
      </c>
      <c r="C17" s="3">
        <f>Producton!C17*Prices!$C$2</f>
        <v>0</v>
      </c>
      <c r="D17" s="3">
        <f>Table3[[#This Row],[Total Base Metal Rev]]</f>
        <v>422313924</v>
      </c>
      <c r="E17" s="3">
        <f>Table3[[#This Row],[Tot Rev]]</f>
        <v>570770964</v>
      </c>
    </row>
    <row r="19" spans="1:5" x14ac:dyDescent="0.25">
      <c r="A19" t="s">
        <v>69</v>
      </c>
      <c r="B19" t="s">
        <v>32</v>
      </c>
      <c r="C19" t="s">
        <v>29</v>
      </c>
      <c r="D19" t="s">
        <v>96</v>
      </c>
    </row>
    <row r="20" spans="1:5" x14ac:dyDescent="0.25">
      <c r="A20" t="s">
        <v>12</v>
      </c>
      <c r="B20" s="4">
        <f>B2/$E2</f>
        <v>0.94752693648325725</v>
      </c>
      <c r="C20" s="4">
        <f>C2/$E2</f>
        <v>5.2473063516742725E-2</v>
      </c>
      <c r="D20" s="4">
        <f>D2/$E2</f>
        <v>0</v>
      </c>
    </row>
    <row r="21" spans="1:5" x14ac:dyDescent="0.25">
      <c r="A21" t="s">
        <v>10</v>
      </c>
      <c r="B21" s="4">
        <f>B3/$E3</f>
        <v>1</v>
      </c>
      <c r="C21" s="4">
        <f>C3/$E3</f>
        <v>0</v>
      </c>
      <c r="D21" s="4">
        <f>D3/$E3</f>
        <v>0</v>
      </c>
    </row>
    <row r="22" spans="1:5" x14ac:dyDescent="0.25">
      <c r="A22" t="s">
        <v>18</v>
      </c>
      <c r="B22" s="4">
        <f>B4/$E4</f>
        <v>0.25568380552640785</v>
      </c>
      <c r="C22" s="4">
        <f>C4/$E4</f>
        <v>0.74431619447359221</v>
      </c>
      <c r="D22" s="4">
        <f>D4/$E4</f>
        <v>0</v>
      </c>
    </row>
    <row r="23" spans="1:5" x14ac:dyDescent="0.25">
      <c r="A23" t="s">
        <v>9</v>
      </c>
      <c r="B23" s="4">
        <f>B5/$E5</f>
        <v>0.65560538116591927</v>
      </c>
      <c r="C23" s="4">
        <f>C5/$E5</f>
        <v>0.34439461883408073</v>
      </c>
      <c r="D23" s="4">
        <f>D5/$E5</f>
        <v>0</v>
      </c>
    </row>
    <row r="24" spans="1:5" x14ac:dyDescent="0.25">
      <c r="A24" t="s">
        <v>6</v>
      </c>
      <c r="B24" s="4">
        <f>B6/$E6</f>
        <v>0.30267145861971878</v>
      </c>
      <c r="C24" s="4">
        <f>C6/$E6</f>
        <v>0.69732854138028122</v>
      </c>
      <c r="D24" s="4">
        <f>D6/$E6</f>
        <v>0</v>
      </c>
    </row>
    <row r="25" spans="1:5" x14ac:dyDescent="0.25">
      <c r="A25" t="s">
        <v>17</v>
      </c>
      <c r="B25" s="4">
        <f>B7/$E7</f>
        <v>0.19538312353204737</v>
      </c>
      <c r="C25" s="4">
        <f>C7/$E7</f>
        <v>0.65945048375454995</v>
      </c>
      <c r="D25" s="4">
        <f>D7/$E7</f>
        <v>0.1451663927134027</v>
      </c>
    </row>
    <row r="26" spans="1:5" x14ac:dyDescent="0.25">
      <c r="A26" t="s">
        <v>16</v>
      </c>
      <c r="B26" s="4">
        <f>B8/$E8</f>
        <v>0.41400568097726326</v>
      </c>
      <c r="C26" s="4">
        <f>C8/$E8</f>
        <v>0.4074754258919483</v>
      </c>
      <c r="D26" s="4">
        <f>D8/$E8</f>
        <v>0.17851889313078848</v>
      </c>
    </row>
    <row r="27" spans="1:5" x14ac:dyDescent="0.25">
      <c r="A27" t="s">
        <v>44</v>
      </c>
      <c r="B27" s="4">
        <f>B9/$E9</f>
        <v>0.54208130893540296</v>
      </c>
      <c r="C27" s="4">
        <f>C9/$E9</f>
        <v>0.45791869106459698</v>
      </c>
      <c r="D27" s="4">
        <f>D9/$E9</f>
        <v>0</v>
      </c>
    </row>
    <row r="28" spans="1:5" x14ac:dyDescent="0.25">
      <c r="A28" t="s">
        <v>8</v>
      </c>
      <c r="B28" s="4">
        <f>B10/$E10</f>
        <v>0.28443777581488872</v>
      </c>
      <c r="C28" s="4">
        <f>C10/$E10</f>
        <v>0.36959294271379783</v>
      </c>
      <c r="D28" s="4">
        <f>D10/$E10</f>
        <v>0.34596928147131345</v>
      </c>
    </row>
    <row r="29" spans="1:5" x14ac:dyDescent="0.25">
      <c r="A29" t="s">
        <v>11</v>
      </c>
      <c r="B29" s="4">
        <f>B11/$E11</f>
        <v>0.39167742895245766</v>
      </c>
      <c r="C29" s="4">
        <f>C11/$E11</f>
        <v>0.60832257104754228</v>
      </c>
      <c r="D29" s="4">
        <f>D11/$E11</f>
        <v>0</v>
      </c>
    </row>
    <row r="30" spans="1:5" x14ac:dyDescent="0.25">
      <c r="A30" t="s">
        <v>7</v>
      </c>
      <c r="B30" s="4">
        <f>B12/$E12</f>
        <v>0.25154290994248935</v>
      </c>
      <c r="C30" s="4">
        <f>C12/$E12</f>
        <v>0.63927609883544945</v>
      </c>
      <c r="D30" s="4">
        <f>D12/$E12</f>
        <v>0.10921022128052764</v>
      </c>
    </row>
    <row r="31" spans="1:5" x14ac:dyDescent="0.25">
      <c r="A31" t="s">
        <v>19</v>
      </c>
      <c r="B31" s="4">
        <f>B13/$E13</f>
        <v>0.42401743468209052</v>
      </c>
      <c r="C31" s="4">
        <f>C13/$E13</f>
        <v>0</v>
      </c>
      <c r="D31" s="4">
        <f>D13/$E13</f>
        <v>0.57598256531790948</v>
      </c>
    </row>
    <row r="32" spans="1:5" x14ac:dyDescent="0.25">
      <c r="A32" t="s">
        <v>15</v>
      </c>
      <c r="B32" s="4">
        <f>B14/$E14</f>
        <v>0.15890990296634455</v>
      </c>
      <c r="C32" s="4">
        <f>C14/$E14</f>
        <v>0.84109009703365545</v>
      </c>
      <c r="D32" s="4">
        <f>D14/$E14</f>
        <v>0</v>
      </c>
    </row>
    <row r="33" spans="1:4" x14ac:dyDescent="0.25">
      <c r="A33" t="s">
        <v>38</v>
      </c>
      <c r="B33" s="4">
        <f>B15/$E15</f>
        <v>0.9258869472809772</v>
      </c>
      <c r="C33" s="4">
        <f>C15/$E15</f>
        <v>3.6819765305473082E-2</v>
      </c>
      <c r="D33" s="4">
        <f>D15/$E15</f>
        <v>3.729328741354971E-2</v>
      </c>
    </row>
    <row r="34" spans="1:4" x14ac:dyDescent="0.25">
      <c r="A34" s="5" t="s">
        <v>76</v>
      </c>
      <c r="B34" s="4">
        <f t="shared" ref="B34:D34" si="0">B16/$E16</f>
        <v>0.53148191700927017</v>
      </c>
      <c r="C34" s="4">
        <f t="shared" si="0"/>
        <v>0.43306188820796931</v>
      </c>
      <c r="D34" s="4">
        <f t="shared" si="0"/>
        <v>3.5456194782760457E-2</v>
      </c>
    </row>
    <row r="35" spans="1:4" x14ac:dyDescent="0.25">
      <c r="A35" s="5" t="s">
        <v>80</v>
      </c>
      <c r="B35" s="4">
        <f t="shared" ref="B35:D35" si="1">B17/$E17</f>
        <v>0.29569352795598763</v>
      </c>
      <c r="C35" s="4">
        <f t="shared" si="1"/>
        <v>0</v>
      </c>
      <c r="D35" s="4">
        <f t="shared" si="1"/>
        <v>0.73990085452209509</v>
      </c>
    </row>
    <row r="38" spans="1:4" x14ac:dyDescent="0.25">
      <c r="A38" t="s">
        <v>69</v>
      </c>
      <c r="B38" t="s">
        <v>32</v>
      </c>
      <c r="C38" t="s">
        <v>29</v>
      </c>
      <c r="D38" t="s">
        <v>96</v>
      </c>
    </row>
    <row r="39" spans="1:4" x14ac:dyDescent="0.25">
      <c r="A39" t="s">
        <v>98</v>
      </c>
      <c r="B39" s="33">
        <v>1</v>
      </c>
      <c r="C39" s="33">
        <v>0</v>
      </c>
      <c r="D39" s="33">
        <v>0</v>
      </c>
    </row>
    <row r="40" spans="1:4" x14ac:dyDescent="0.25">
      <c r="A40" t="s">
        <v>99</v>
      </c>
      <c r="B40" s="33">
        <v>0.94752693648325725</v>
      </c>
      <c r="C40" s="33">
        <v>5.2473063516742725E-2</v>
      </c>
      <c r="D40" s="33">
        <v>0</v>
      </c>
    </row>
    <row r="41" spans="1:4" x14ac:dyDescent="0.25">
      <c r="A41" t="s">
        <v>38</v>
      </c>
      <c r="B41" s="33">
        <v>0.9258869472809772</v>
      </c>
      <c r="C41" s="33">
        <v>3.6819765305473082E-2</v>
      </c>
      <c r="D41" s="33">
        <v>3.729328741354971E-2</v>
      </c>
    </row>
    <row r="42" spans="1:4" x14ac:dyDescent="0.25">
      <c r="A42" t="s">
        <v>100</v>
      </c>
      <c r="B42" s="33">
        <v>0.65560538116591927</v>
      </c>
      <c r="C42" s="33">
        <v>0.34439461883408073</v>
      </c>
      <c r="D42" s="33">
        <v>0</v>
      </c>
    </row>
    <row r="43" spans="1:4" x14ac:dyDescent="0.25">
      <c r="A43" t="s">
        <v>44</v>
      </c>
      <c r="B43" s="33">
        <v>0.54208130893540296</v>
      </c>
      <c r="C43" s="33">
        <v>0.45791869106459698</v>
      </c>
      <c r="D43" s="33">
        <v>0</v>
      </c>
    </row>
    <row r="44" spans="1:4" x14ac:dyDescent="0.25">
      <c r="A44" t="s">
        <v>76</v>
      </c>
      <c r="B44" s="33">
        <v>0.53148191700927017</v>
      </c>
      <c r="C44" s="33">
        <v>0.43306188820796931</v>
      </c>
      <c r="D44" s="33">
        <v>3.5456194782760457E-2</v>
      </c>
    </row>
    <row r="45" spans="1:4" x14ac:dyDescent="0.25">
      <c r="A45" t="s">
        <v>101</v>
      </c>
      <c r="B45" s="33">
        <v>0.42401743468209052</v>
      </c>
      <c r="C45" s="33">
        <v>0</v>
      </c>
      <c r="D45" s="33">
        <v>0.57598256531790948</v>
      </c>
    </row>
    <row r="46" spans="1:4" x14ac:dyDescent="0.25">
      <c r="A46" t="s">
        <v>102</v>
      </c>
      <c r="B46" s="33">
        <v>0.41400568097726326</v>
      </c>
      <c r="C46" s="33">
        <v>0.4074754258919483</v>
      </c>
      <c r="D46" s="33">
        <v>0.17851889313078848</v>
      </c>
    </row>
    <row r="47" spans="1:4" x14ac:dyDescent="0.25">
      <c r="A47" t="s">
        <v>107</v>
      </c>
      <c r="B47" s="33">
        <v>0.39167742895245766</v>
      </c>
      <c r="C47" s="33">
        <v>0.60832257104754228</v>
      </c>
      <c r="D47" s="33">
        <v>0</v>
      </c>
    </row>
    <row r="48" spans="1:4" x14ac:dyDescent="0.25">
      <c r="A48" t="s">
        <v>97</v>
      </c>
      <c r="B48" s="33">
        <v>0.30267145861971878</v>
      </c>
      <c r="C48" s="33">
        <v>0.69732854138028122</v>
      </c>
      <c r="D48" s="33">
        <v>0</v>
      </c>
    </row>
    <row r="49" spans="1:4" x14ac:dyDescent="0.25">
      <c r="A49" t="s">
        <v>80</v>
      </c>
      <c r="B49" s="33">
        <v>0.29569352795598763</v>
      </c>
      <c r="C49" s="33">
        <v>0</v>
      </c>
      <c r="D49" s="33">
        <v>0.73990085452209509</v>
      </c>
    </row>
    <row r="50" spans="1:4" x14ac:dyDescent="0.25">
      <c r="A50" t="s">
        <v>103</v>
      </c>
      <c r="B50" s="33">
        <v>0.28443777581488872</v>
      </c>
      <c r="C50" s="33">
        <v>0.36959294271379783</v>
      </c>
      <c r="D50" s="33">
        <v>0.34596928147131345</v>
      </c>
    </row>
    <row r="51" spans="1:4" x14ac:dyDescent="0.25">
      <c r="A51" t="s">
        <v>18</v>
      </c>
      <c r="B51" s="33">
        <v>0.25568380552640785</v>
      </c>
      <c r="C51" s="33">
        <v>0.74431619447359221</v>
      </c>
      <c r="D51" s="33">
        <v>0</v>
      </c>
    </row>
    <row r="52" spans="1:4" x14ac:dyDescent="0.25">
      <c r="A52" t="s">
        <v>104</v>
      </c>
      <c r="B52" s="33">
        <v>0.25154290994248935</v>
      </c>
      <c r="C52" s="33">
        <v>0.63927609883544945</v>
      </c>
      <c r="D52" s="33">
        <v>0.10921022128052764</v>
      </c>
    </row>
    <row r="53" spans="1:4" x14ac:dyDescent="0.25">
      <c r="A53" t="s">
        <v>105</v>
      </c>
      <c r="B53" s="33">
        <v>0.19538312353204737</v>
      </c>
      <c r="C53" s="33">
        <v>0.65945048375454995</v>
      </c>
      <c r="D53" s="33">
        <v>0.1451663927134027</v>
      </c>
    </row>
    <row r="54" spans="1:4" x14ac:dyDescent="0.25">
      <c r="A54" t="s">
        <v>106</v>
      </c>
      <c r="B54" s="33">
        <v>0.15890990296634455</v>
      </c>
      <c r="C54" s="33">
        <v>0.84109009703365545</v>
      </c>
      <c r="D54" s="33">
        <v>0</v>
      </c>
    </row>
  </sheetData>
  <sortState xmlns:xlrd2="http://schemas.microsoft.com/office/spreadsheetml/2017/richdata2" ref="A39:D54">
    <sortCondition descending="1" ref="B39:B54"/>
  </sortState>
  <pageMargins left="0.7" right="0.7" top="0.75" bottom="0.75" header="0.3" footer="0.3"/>
  <tableParts count="2">
    <tablePart r:id="rId1"/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Charts</vt:lpstr>
      </vt:variant>
      <vt:variant>
        <vt:i4>1</vt:i4>
      </vt:variant>
    </vt:vector>
  </HeadingPairs>
  <TitlesOfParts>
    <vt:vector size="5" baseType="lpstr">
      <vt:lpstr>Producton</vt:lpstr>
      <vt:lpstr>Prices</vt:lpstr>
      <vt:lpstr>Percent of Revenue</vt:lpstr>
      <vt:lpstr>Calcs for chart</vt:lpstr>
      <vt:lpstr>Chart3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Nate</dc:creator>
  <cp:lastModifiedBy>Nate</cp:lastModifiedBy>
  <dcterms:created xsi:type="dcterms:W3CDTF">2023-01-30T10:31:39Z</dcterms:created>
  <dcterms:modified xsi:type="dcterms:W3CDTF">2023-02-01T11:44:47Z</dcterms:modified>
</cp:coreProperties>
</file>